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ME\Data\D03\Farm Management\Production Economics\COP decision support tools\2 - Forage and Livestock Calculators\2025\"/>
    </mc:Choice>
  </mc:AlternateContent>
  <xr:revisionPtr revIDLastSave="0" documentId="13_ncr:1_{8848413E-9478-49D6-85C1-5FBE39031295}" xr6:coauthVersionLast="47" xr6:coauthVersionMax="47" xr10:uidLastSave="{00000000-0000-0000-0000-000000000000}"/>
  <workbookProtection workbookAlgorithmName="SHA-512" workbookHashValue="8Df9pRbcYwJ4Dvc0F4bv1WBXtk48pBZe/NrVsB9kG702ISYX4nm7mJ8F9ojUMeg3Ok05lgwxjR/wVKzCVKTm3w==" workbookSaltValue="IVpS1/bhAJ7AD+SdryCQaA==" workbookSpinCount="100000" lockStructure="1"/>
  <bookViews>
    <workbookView xWindow="-108" yWindow="-108" windowWidth="23256" windowHeight="12576" xr2:uid="{00000000-000D-0000-FFFF-FFFF00000000}"/>
  </bookViews>
  <sheets>
    <sheet name=" LPI Calculator" sheetId="1" r:id="rId1"/>
    <sheet name="User Guide" sheetId="5" r:id="rId2"/>
    <sheet name="Cost of Production" sheetId="2" r:id="rId3"/>
    <sheet name="Graph Data (HIDE)" sheetId="3" state="hidden" r:id="rId4"/>
    <sheet name="WLPIP 2 (HIDE)" sheetId="4" state="hidden" r:id="rId5"/>
  </sheets>
  <definedNames>
    <definedName name="\A" localSheetId="0">#REF!</definedName>
    <definedName name="\A" localSheetId="1">#REF!</definedName>
    <definedName name="\A" localSheetId="4">#REF!</definedName>
    <definedName name="\A">#REF!</definedName>
    <definedName name="\B" localSheetId="0">#REF!</definedName>
    <definedName name="\B" localSheetId="1">#REF!</definedName>
    <definedName name="\B" localSheetId="4">#REF!</definedName>
    <definedName name="\B">#REF!</definedName>
    <definedName name="\C" localSheetId="0">#REF!</definedName>
    <definedName name="\C" localSheetId="1">#REF!</definedName>
    <definedName name="\C" localSheetId="4">#REF!</definedName>
    <definedName name="\C">#N/A</definedName>
    <definedName name="\D" localSheetId="0">#REF!</definedName>
    <definedName name="\D" localSheetId="1">#REF!</definedName>
    <definedName name="\D" localSheetId="4">#REF!</definedName>
    <definedName name="\D">#N/A</definedName>
    <definedName name="\E" localSheetId="0">#REF!</definedName>
    <definedName name="\E" localSheetId="1">#REF!</definedName>
    <definedName name="\E" localSheetId="4">#REF!</definedName>
    <definedName name="\E">#REF!</definedName>
    <definedName name="\F" localSheetId="0">#REF!</definedName>
    <definedName name="\F" localSheetId="1">#REF!</definedName>
    <definedName name="\F" localSheetId="4">#REF!</definedName>
    <definedName name="\F">#REF!</definedName>
    <definedName name="\H" localSheetId="0">#REF!</definedName>
    <definedName name="\H" localSheetId="1">#REF!</definedName>
    <definedName name="\H" localSheetId="4">#REF!</definedName>
    <definedName name="\H">#N/A</definedName>
    <definedName name="\I" localSheetId="0">#REF!</definedName>
    <definedName name="\I" localSheetId="1">#REF!</definedName>
    <definedName name="\I" localSheetId="4">#REF!</definedName>
    <definedName name="\I">#N/A</definedName>
    <definedName name="\K">#N/A</definedName>
    <definedName name="\L" localSheetId="0">#REF!</definedName>
    <definedName name="\L" localSheetId="1">#REF!</definedName>
    <definedName name="\L" localSheetId="4">#REF!</definedName>
    <definedName name="\L">#REF!</definedName>
    <definedName name="\N" localSheetId="0">#REF!</definedName>
    <definedName name="\N" localSheetId="1">#REF!</definedName>
    <definedName name="\N" localSheetId="4">#REF!</definedName>
    <definedName name="\N">#N/A</definedName>
    <definedName name="\O" localSheetId="0">#REF!</definedName>
    <definedName name="\O" localSheetId="1">#REF!</definedName>
    <definedName name="\O" localSheetId="4">#REF!</definedName>
    <definedName name="\O">#REF!</definedName>
    <definedName name="\P">#N/A</definedName>
    <definedName name="\R" localSheetId="0">#REF!</definedName>
    <definedName name="\R" localSheetId="1">#REF!</definedName>
    <definedName name="\R" localSheetId="4">#REF!</definedName>
    <definedName name="\R">#REF!</definedName>
    <definedName name="\S" localSheetId="0">#REF!</definedName>
    <definedName name="\S" localSheetId="1">#REF!</definedName>
    <definedName name="\S" localSheetId="4">#REF!</definedName>
    <definedName name="\S">#N/A</definedName>
    <definedName name="\T" localSheetId="0">#REF!</definedName>
    <definedName name="\T" localSheetId="1">#REF!</definedName>
    <definedName name="\T" localSheetId="4">#REF!</definedName>
    <definedName name="\T">#REF!</definedName>
    <definedName name="\U" localSheetId="0">#REF!</definedName>
    <definedName name="\U" localSheetId="1">#REF!</definedName>
    <definedName name="\U" localSheetId="4">#REF!</definedName>
    <definedName name="\U">#REF!</definedName>
    <definedName name="\W" localSheetId="0">#REF!</definedName>
    <definedName name="\W" localSheetId="1">#REF!</definedName>
    <definedName name="\W" localSheetId="4">#REF!</definedName>
    <definedName name="\W">#N/A</definedName>
    <definedName name="\X">#N/A</definedName>
    <definedName name="\Y" localSheetId="0">#REF!</definedName>
    <definedName name="\Y" localSheetId="1">#REF!</definedName>
    <definedName name="\Y" localSheetId="4">#REF!</definedName>
    <definedName name="\Y">#REF!</definedName>
    <definedName name="ALL">#N/A</definedName>
    <definedName name="_xlnm.Print_Area" localSheetId="0">' LPI Calculator'!$A$1:$V$114</definedName>
    <definedName name="_xlnm.Print_Area" localSheetId="1">'User Guide'!$A$3:$K$101</definedName>
    <definedName name="_xlnm.Print_Area" localSheetId="4">'WLPIP 2 (HIDE)'!$A$1:$V$69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0" i="1" l="1"/>
  <c r="U50" i="1"/>
  <c r="T50" i="1"/>
  <c r="S50" i="1"/>
  <c r="R50" i="1"/>
  <c r="B13" i="3" l="1"/>
  <c r="B14" i="3"/>
  <c r="B11" i="3"/>
  <c r="C85" i="5"/>
  <c r="A47" i="1"/>
  <c r="B37" i="1"/>
  <c r="A35" i="1"/>
  <c r="G29" i="2" l="1"/>
  <c r="G23" i="2"/>
  <c r="C41" i="2"/>
  <c r="C16" i="2"/>
  <c r="A26" i="1"/>
  <c r="E42" i="3"/>
  <c r="J58" i="3" s="1"/>
  <c r="V14" i="4"/>
  <c r="U14" i="4"/>
  <c r="T14" i="4"/>
  <c r="S14" i="4"/>
  <c r="S34" i="4" s="1"/>
  <c r="R14" i="4"/>
  <c r="R18" i="4" s="1"/>
  <c r="Q14" i="4"/>
  <c r="P14" i="4"/>
  <c r="O14" i="4"/>
  <c r="N14" i="4"/>
  <c r="M14" i="4"/>
  <c r="L14" i="4"/>
  <c r="K14" i="4"/>
  <c r="J14" i="4"/>
  <c r="I14" i="4"/>
  <c r="H14" i="4"/>
  <c r="G14" i="4"/>
  <c r="F14" i="4"/>
  <c r="E14" i="4"/>
  <c r="D14" i="4"/>
  <c r="C14" i="4"/>
  <c r="C13" i="4"/>
  <c r="D13" i="4" s="1"/>
  <c r="C6" i="4"/>
  <c r="B28" i="4" s="1"/>
  <c r="O5" i="4"/>
  <c r="N5" i="4"/>
  <c r="I5" i="4"/>
  <c r="A26" i="4" s="1"/>
  <c r="C5" i="4"/>
  <c r="BB37" i="4"/>
  <c r="BB38" i="4"/>
  <c r="BD8" i="4"/>
  <c r="BE8" i="4"/>
  <c r="BF8" i="4" s="1"/>
  <c r="BG8" i="4" s="1"/>
  <c r="BH8" i="4" s="1"/>
  <c r="BI8" i="4" s="1"/>
  <c r="BJ8" i="4" s="1"/>
  <c r="BK8" i="4" s="1"/>
  <c r="BL8" i="4" s="1"/>
  <c r="BM8" i="4" s="1"/>
  <c r="BN8" i="4" s="1"/>
  <c r="BO8" i="4" s="1"/>
  <c r="BP8" i="4" s="1"/>
  <c r="BQ8" i="4" s="1"/>
  <c r="BR8" i="4" s="1"/>
  <c r="BS8" i="4" s="1"/>
  <c r="BT8" i="4" s="1"/>
  <c r="BU8" i="4" s="1"/>
  <c r="BV8" i="4" s="1"/>
  <c r="BW8" i="4" s="1"/>
  <c r="BX8" i="4" s="1"/>
  <c r="BY8" i="4" s="1"/>
  <c r="BZ8" i="4" s="1"/>
  <c r="CA8" i="4" s="1"/>
  <c r="CB8" i="4" s="1"/>
  <c r="CC8" i="4" s="1"/>
  <c r="CD8" i="4" s="1"/>
  <c r="CE8" i="4" s="1"/>
  <c r="CF8" i="4" s="1"/>
  <c r="BC8" i="4"/>
  <c r="V3" i="4"/>
  <c r="C55" i="3"/>
  <c r="B55" i="3"/>
  <c r="C82" i="3"/>
  <c r="B82" i="3"/>
  <c r="C43" i="3"/>
  <c r="B43" i="3"/>
  <c r="B2" i="3"/>
  <c r="C2" i="3"/>
  <c r="B10" i="3"/>
  <c r="C8" i="3"/>
  <c r="B8" i="3"/>
  <c r="V51" i="1"/>
  <c r="V13" i="3" s="1"/>
  <c r="V14" i="3"/>
  <c r="U14" i="3"/>
  <c r="V49" i="1"/>
  <c r="V48" i="1"/>
  <c r="U48" i="1"/>
  <c r="V36" i="1"/>
  <c r="V11" i="3" s="1"/>
  <c r="U36" i="1"/>
  <c r="U11" i="3" s="1"/>
  <c r="C36" i="1"/>
  <c r="V37" i="1"/>
  <c r="U37" i="1"/>
  <c r="BB29" i="1"/>
  <c r="BB30" i="1" s="1"/>
  <c r="V43" i="1"/>
  <c r="V5" i="3" s="1"/>
  <c r="U43" i="1"/>
  <c r="U5" i="3" s="1"/>
  <c r="V42" i="1"/>
  <c r="V15" i="3" s="1"/>
  <c r="U42" i="1"/>
  <c r="U15" i="3" s="1"/>
  <c r="U41" i="1"/>
  <c r="V40" i="1"/>
  <c r="V3" i="3" s="1"/>
  <c r="A21" i="1"/>
  <c r="B57" i="3" s="1"/>
  <c r="A25" i="1"/>
  <c r="V20" i="1"/>
  <c r="V9" i="3" s="1"/>
  <c r="V25" i="1"/>
  <c r="V30" i="1" s="1"/>
  <c r="U20" i="1"/>
  <c r="U9" i="3" s="1"/>
  <c r="U25" i="1"/>
  <c r="T20" i="1"/>
  <c r="T9" i="3" s="1"/>
  <c r="R20" i="1"/>
  <c r="R9" i="3" s="1"/>
  <c r="P20" i="1"/>
  <c r="P9" i="3" s="1"/>
  <c r="O20" i="1"/>
  <c r="O25" i="1" s="1"/>
  <c r="N20" i="1"/>
  <c r="N9" i="3" s="1"/>
  <c r="L20" i="1"/>
  <c r="L9" i="3" s="1"/>
  <c r="K20" i="1"/>
  <c r="K9" i="3" s="1"/>
  <c r="H20" i="1"/>
  <c r="H25" i="1" s="1"/>
  <c r="F20" i="1"/>
  <c r="F9" i="3" s="1"/>
  <c r="D20" i="1"/>
  <c r="D25" i="1" s="1"/>
  <c r="C21" i="1"/>
  <c r="C57" i="3" s="1"/>
  <c r="C16" i="1"/>
  <c r="C52" i="5" s="1"/>
  <c r="D9" i="1"/>
  <c r="E9" i="1" s="1"/>
  <c r="V3" i="1"/>
  <c r="V21" i="1"/>
  <c r="V57" i="3" s="1"/>
  <c r="V56" i="3" s="1"/>
  <c r="U21" i="1"/>
  <c r="U57" i="3" s="1"/>
  <c r="U56" i="3" s="1"/>
  <c r="V23" i="1"/>
  <c r="V83" i="3" s="1"/>
  <c r="V26" i="1"/>
  <c r="U23" i="1"/>
  <c r="U10" i="3" s="1"/>
  <c r="R25" i="1"/>
  <c r="T25" i="1"/>
  <c r="R36" i="1"/>
  <c r="R11" i="3" s="1"/>
  <c r="R14" i="3"/>
  <c r="R51" i="1"/>
  <c r="R13" i="3" s="1"/>
  <c r="R49" i="1"/>
  <c r="R23" i="1"/>
  <c r="R83" i="3" s="1"/>
  <c r="R26" i="1"/>
  <c r="R43" i="1"/>
  <c r="R12" i="3" s="1"/>
  <c r="R42" i="1"/>
  <c r="R15" i="3" s="1"/>
  <c r="S36" i="1"/>
  <c r="S11" i="3" s="1"/>
  <c r="S51" i="1"/>
  <c r="S13" i="3" s="1"/>
  <c r="S49" i="1"/>
  <c r="S14" i="3"/>
  <c r="R37" i="1"/>
  <c r="S42" i="1"/>
  <c r="S15" i="3" s="1"/>
  <c r="S23" i="1"/>
  <c r="S10" i="3" s="1"/>
  <c r="S43" i="1"/>
  <c r="S40" i="1"/>
  <c r="S3" i="3" s="1"/>
  <c r="T21" i="1"/>
  <c r="T57" i="3" s="1"/>
  <c r="T56" i="3" s="1"/>
  <c r="S37" i="1"/>
  <c r="T37" i="1"/>
  <c r="T41" i="1"/>
  <c r="T43" i="1"/>
  <c r="T5" i="3" s="1"/>
  <c r="T26" i="1"/>
  <c r="T23" i="1"/>
  <c r="T83" i="3" s="1"/>
  <c r="T42" i="1"/>
  <c r="T15" i="3" s="1"/>
  <c r="T48" i="1"/>
  <c r="T51" i="1"/>
  <c r="T13" i="3" s="1"/>
  <c r="T49" i="1"/>
  <c r="N58" i="3"/>
  <c r="G58" i="3"/>
  <c r="D21" i="1"/>
  <c r="D43" i="3"/>
  <c r="R23" i="4"/>
  <c r="R24" i="4"/>
  <c r="V28" i="4"/>
  <c r="V12" i="3"/>
  <c r="U51" i="1"/>
  <c r="U13" i="3" s="1"/>
  <c r="U49" i="1"/>
  <c r="V41" i="1"/>
  <c r="U40" i="1"/>
  <c r="U3" i="3" s="1"/>
  <c r="A20" i="1"/>
  <c r="B9" i="3" s="1"/>
  <c r="S20" i="1"/>
  <c r="S9" i="3" s="1"/>
  <c r="Q20" i="1"/>
  <c r="Q25" i="1" s="1"/>
  <c r="M20" i="1"/>
  <c r="M9" i="3" s="1"/>
  <c r="J20" i="1"/>
  <c r="J25" i="1" s="1"/>
  <c r="I20" i="1"/>
  <c r="I9" i="3" s="1"/>
  <c r="G20" i="1"/>
  <c r="E20" i="1"/>
  <c r="E9" i="3" s="1"/>
  <c r="C20" i="1"/>
  <c r="C9" i="3" s="1"/>
  <c r="U26" i="1"/>
  <c r="S25" i="1"/>
  <c r="R21" i="1"/>
  <c r="R57" i="3" s="1"/>
  <c r="R56" i="3" s="1"/>
  <c r="R41" i="1"/>
  <c r="R40" i="1"/>
  <c r="R3" i="3" s="1"/>
  <c r="S48" i="1"/>
  <c r="S21" i="1"/>
  <c r="S57" i="3" s="1"/>
  <c r="S56" i="3" s="1"/>
  <c r="R48" i="1"/>
  <c r="S41" i="1"/>
  <c r="S26" i="1"/>
  <c r="T36" i="1"/>
  <c r="T11" i="3" s="1"/>
  <c r="T40" i="1"/>
  <c r="T3" i="3" s="1"/>
  <c r="T14" i="3"/>
  <c r="S58" i="3"/>
  <c r="V4" i="3"/>
  <c r="U12" i="3"/>
  <c r="R5" i="3"/>
  <c r="V23" i="4"/>
  <c r="V38" i="4" s="1"/>
  <c r="V27" i="4"/>
  <c r="V47" i="4"/>
  <c r="V34" i="4"/>
  <c r="T46" i="4"/>
  <c r="U28" i="4"/>
  <c r="V33" i="4"/>
  <c r="T31" i="4"/>
  <c r="T44" i="4"/>
  <c r="T32" i="4"/>
  <c r="T19" i="4"/>
  <c r="T27" i="4"/>
  <c r="T21" i="4"/>
  <c r="T45" i="4"/>
  <c r="A24" i="4"/>
  <c r="U44" i="4"/>
  <c r="U32" i="4"/>
  <c r="U34" i="4"/>
  <c r="U21" i="4"/>
  <c r="V19" i="4"/>
  <c r="U27" i="4"/>
  <c r="A23" i="4"/>
  <c r="C7" i="4"/>
  <c r="U33" i="4"/>
  <c r="U47" i="4"/>
  <c r="T33" i="4" l="1"/>
  <c r="R44" i="4"/>
  <c r="U83" i="3"/>
  <c r="R29" i="1"/>
  <c r="K58" i="3"/>
  <c r="H58" i="3"/>
  <c r="U58" i="3"/>
  <c r="V58" i="3"/>
  <c r="B60" i="3"/>
  <c r="D58" i="3"/>
  <c r="O58" i="3"/>
  <c r="E58" i="3"/>
  <c r="L58" i="3"/>
  <c r="T58" i="3"/>
  <c r="B58" i="3"/>
  <c r="F58" i="3"/>
  <c r="I58" i="3"/>
  <c r="P58" i="3"/>
  <c r="P25" i="1"/>
  <c r="O29" i="1" s="1"/>
  <c r="C26" i="1"/>
  <c r="E21" i="1"/>
  <c r="E26" i="1" s="1"/>
  <c r="E82" i="3"/>
  <c r="E43" i="3"/>
  <c r="F9" i="1"/>
  <c r="F55" i="3" s="1"/>
  <c r="E36" i="1"/>
  <c r="E11" i="3" s="1"/>
  <c r="T47" i="4"/>
  <c r="D2" i="3"/>
  <c r="R21" i="4"/>
  <c r="S4" i="3"/>
  <c r="H23" i="4"/>
  <c r="H18" i="4" s="1"/>
  <c r="C29" i="2"/>
  <c r="C31" i="2" s="1"/>
  <c r="M25" i="1"/>
  <c r="M23" i="4" s="1"/>
  <c r="M18" i="4" s="1"/>
  <c r="S32" i="4"/>
  <c r="D8" i="3"/>
  <c r="T30" i="1"/>
  <c r="E55" i="3"/>
  <c r="A55" i="1"/>
  <c r="C67" i="5" s="1"/>
  <c r="S45" i="4"/>
  <c r="T24" i="4"/>
  <c r="T31" i="1"/>
  <c r="T84" i="3" s="1"/>
  <c r="U18" i="4"/>
  <c r="T10" i="3"/>
  <c r="J9" i="3"/>
  <c r="S31" i="1"/>
  <c r="S84" i="3" s="1"/>
  <c r="U31" i="1"/>
  <c r="U84" i="3" s="1"/>
  <c r="U30" i="1"/>
  <c r="E2" i="3"/>
  <c r="V10" i="3"/>
  <c r="U29" i="1"/>
  <c r="R58" i="3"/>
  <c r="B46" i="3"/>
  <c r="C58" i="3"/>
  <c r="Q58" i="3"/>
  <c r="M58" i="3"/>
  <c r="I25" i="1"/>
  <c r="I23" i="4" s="1"/>
  <c r="I18" i="4" s="1"/>
  <c r="E25" i="1"/>
  <c r="E23" i="4" s="1"/>
  <c r="E18" i="4" s="1"/>
  <c r="D23" i="1"/>
  <c r="D83" i="3" s="1"/>
  <c r="C25" i="1"/>
  <c r="C29" i="1" s="1"/>
  <c r="S28" i="4"/>
  <c r="R34" i="4"/>
  <c r="U19" i="4"/>
  <c r="U45" i="4"/>
  <c r="V31" i="4"/>
  <c r="V45" i="4"/>
  <c r="V24" i="4"/>
  <c r="U46" i="4"/>
  <c r="U24" i="4"/>
  <c r="A43" i="4"/>
  <c r="Q30" i="1"/>
  <c r="E8" i="3"/>
  <c r="R10" i="3"/>
  <c r="S33" i="4"/>
  <c r="S31" i="4"/>
  <c r="T28" i="4"/>
  <c r="T29" i="1"/>
  <c r="S46" i="4"/>
  <c r="R47" i="4"/>
  <c r="V32" i="4"/>
  <c r="T12" i="3"/>
  <c r="V18" i="4"/>
  <c r="J23" i="4"/>
  <c r="J18" i="4" s="1"/>
  <c r="A51" i="4" s="1"/>
  <c r="V31" i="1"/>
  <c r="V84" i="3" s="1"/>
  <c r="A18" i="4"/>
  <c r="V37" i="4"/>
  <c r="T18" i="4"/>
  <c r="R46" i="4"/>
  <c r="R45" i="4"/>
  <c r="U31" i="4"/>
  <c r="U23" i="4"/>
  <c r="U38" i="4" s="1"/>
  <c r="S21" i="4"/>
  <c r="T4" i="3"/>
  <c r="F36" i="1"/>
  <c r="V44" i="4"/>
  <c r="R4" i="3"/>
  <c r="R31" i="1"/>
  <c r="R84" i="3" s="1"/>
  <c r="S19" i="4"/>
  <c r="R33" i="4"/>
  <c r="R31" i="4"/>
  <c r="C37" i="1"/>
  <c r="R19" i="4"/>
  <c r="S44" i="4"/>
  <c r="R32" i="4"/>
  <c r="A19" i="4"/>
  <c r="T34" i="4"/>
  <c r="S27" i="4"/>
  <c r="D9" i="3"/>
  <c r="S24" i="4"/>
  <c r="R27" i="4"/>
  <c r="S18" i="4"/>
  <c r="S30" i="1"/>
  <c r="S47" i="4"/>
  <c r="R28" i="4"/>
  <c r="S23" i="4"/>
  <c r="R30" i="1"/>
  <c r="V46" i="4"/>
  <c r="T23" i="4"/>
  <c r="V21" i="4"/>
  <c r="C11" i="3"/>
  <c r="U4" i="3"/>
  <c r="C49" i="1"/>
  <c r="C48" i="1"/>
  <c r="O23" i="4"/>
  <c r="N25" i="1"/>
  <c r="M29" i="1" s="1"/>
  <c r="L25" i="1"/>
  <c r="L23" i="4" s="1"/>
  <c r="L18" i="4" s="1"/>
  <c r="D26" i="1"/>
  <c r="D57" i="3"/>
  <c r="D23" i="4"/>
  <c r="Q29" i="1"/>
  <c r="Q23" i="4"/>
  <c r="Q39" i="4" s="1"/>
  <c r="Q31" i="1"/>
  <c r="Q84" i="3" s="1"/>
  <c r="E13" i="4"/>
  <c r="V39" i="4"/>
  <c r="S12" i="3"/>
  <c r="S5" i="3"/>
  <c r="G9" i="3"/>
  <c r="G25" i="1"/>
  <c r="G29" i="1" s="1"/>
  <c r="H9" i="3"/>
  <c r="O9" i="3"/>
  <c r="Q9" i="3"/>
  <c r="V29" i="1"/>
  <c r="C23" i="1"/>
  <c r="S83" i="3"/>
  <c r="K25" i="1"/>
  <c r="D41" i="1"/>
  <c r="F25" i="1"/>
  <c r="D36" i="1"/>
  <c r="S29" i="1"/>
  <c r="D82" i="3"/>
  <c r="D55" i="3"/>
  <c r="F82" i="3" l="1"/>
  <c r="F21" i="1"/>
  <c r="G9" i="1"/>
  <c r="F43" i="3"/>
  <c r="S38" i="4"/>
  <c r="E50" i="1"/>
  <c r="E14" i="3" s="1"/>
  <c r="D50" i="1"/>
  <c r="C40" i="1"/>
  <c r="C3" i="3" s="1"/>
  <c r="C41" i="1"/>
  <c r="C42" i="2"/>
  <c r="C42" i="1" s="1"/>
  <c r="C4" i="3" s="1"/>
  <c r="C49" i="2"/>
  <c r="D40" i="1"/>
  <c r="D3" i="3" s="1"/>
  <c r="C50" i="1"/>
  <c r="C14" i="3" s="1"/>
  <c r="F40" i="1"/>
  <c r="F3" i="3" s="1"/>
  <c r="F48" i="1"/>
  <c r="P29" i="1"/>
  <c r="P23" i="4"/>
  <c r="P18" i="4" s="1"/>
  <c r="E57" i="3"/>
  <c r="E41" i="1"/>
  <c r="E23" i="1"/>
  <c r="E10" i="3" s="1"/>
  <c r="D30" i="1"/>
  <c r="G2" i="3"/>
  <c r="E48" i="1"/>
  <c r="G43" i="3"/>
  <c r="E49" i="1"/>
  <c r="E40" i="1"/>
  <c r="E3" i="3" s="1"/>
  <c r="D29" i="1"/>
  <c r="E37" i="1"/>
  <c r="F2" i="3"/>
  <c r="F8" i="3"/>
  <c r="F50" i="1"/>
  <c r="F14" i="3" s="1"/>
  <c r="F57" i="3"/>
  <c r="F23" i="1"/>
  <c r="F83" i="3" s="1"/>
  <c r="F26" i="1"/>
  <c r="E31" i="1" s="1"/>
  <c r="E84" i="3" s="1"/>
  <c r="F41" i="1"/>
  <c r="S39" i="4"/>
  <c r="H29" i="1"/>
  <c r="G21" i="1"/>
  <c r="G40" i="1" s="1"/>
  <c r="G3" i="3" s="1"/>
  <c r="E19" i="4"/>
  <c r="E33" i="4" s="1"/>
  <c r="U37" i="4"/>
  <c r="T37" i="4"/>
  <c r="T38" i="4"/>
  <c r="U39" i="4"/>
  <c r="S37" i="4"/>
  <c r="D10" i="3"/>
  <c r="G8" i="3"/>
  <c r="H9" i="1"/>
  <c r="G55" i="3"/>
  <c r="F37" i="1"/>
  <c r="F49" i="1"/>
  <c r="N23" i="4"/>
  <c r="N18" i="4" s="1"/>
  <c r="L29" i="1"/>
  <c r="H37" i="4"/>
  <c r="I29" i="1"/>
  <c r="G26" i="1"/>
  <c r="F11" i="3"/>
  <c r="D31" i="1"/>
  <c r="D84" i="3" s="1"/>
  <c r="C23" i="4"/>
  <c r="C18" i="4" s="1"/>
  <c r="C19" i="4" s="1"/>
  <c r="C24" i="4" s="1"/>
  <c r="C30" i="1"/>
  <c r="K29" i="1"/>
  <c r="R38" i="4"/>
  <c r="T39" i="4"/>
  <c r="C31" i="1"/>
  <c r="C84" i="3" s="1"/>
  <c r="I37" i="4"/>
  <c r="R39" i="4"/>
  <c r="R37" i="4"/>
  <c r="F42" i="1"/>
  <c r="O18" i="4"/>
  <c r="O37" i="4" s="1"/>
  <c r="N29" i="1"/>
  <c r="L37" i="4"/>
  <c r="G23" i="4"/>
  <c r="F29" i="1"/>
  <c r="C10" i="3"/>
  <c r="C83" i="3"/>
  <c r="D11" i="3"/>
  <c r="D48" i="1"/>
  <c r="D14" i="3"/>
  <c r="D37" i="1"/>
  <c r="D49" i="1"/>
  <c r="D18" i="4"/>
  <c r="Q38" i="4"/>
  <c r="Q37" i="4"/>
  <c r="Q18" i="4"/>
  <c r="P37" i="4" s="1"/>
  <c r="K23" i="4"/>
  <c r="J29" i="1"/>
  <c r="E30" i="1"/>
  <c r="F23" i="4"/>
  <c r="E29" i="1"/>
  <c r="E27" i="4"/>
  <c r="E28" i="4" s="1"/>
  <c r="F13" i="4"/>
  <c r="E42" i="1" l="1"/>
  <c r="E15" i="3" s="1"/>
  <c r="C46" i="2"/>
  <c r="G82" i="3"/>
  <c r="G36" i="1"/>
  <c r="C50" i="2"/>
  <c r="D42" i="1"/>
  <c r="D15" i="3" s="1"/>
  <c r="G41" i="1"/>
  <c r="E83" i="3"/>
  <c r="E21" i="4"/>
  <c r="E34" i="4"/>
  <c r="E24" i="4"/>
  <c r="E31" i="4"/>
  <c r="G42" i="1"/>
  <c r="G15" i="3" s="1"/>
  <c r="F30" i="1"/>
  <c r="F31" i="1"/>
  <c r="F84" i="3" s="1"/>
  <c r="F10" i="3"/>
  <c r="G57" i="3"/>
  <c r="G23" i="1"/>
  <c r="H21" i="1"/>
  <c r="H43" i="1" s="1"/>
  <c r="H82" i="3"/>
  <c r="H43" i="3"/>
  <c r="H2" i="3"/>
  <c r="H55" i="3"/>
  <c r="I9" i="1"/>
  <c r="H8" i="3"/>
  <c r="H36" i="1"/>
  <c r="H48" i="1" s="1"/>
  <c r="C27" i="4"/>
  <c r="C28" i="4" s="1"/>
  <c r="E4" i="3"/>
  <c r="C37" i="4"/>
  <c r="D51" i="1"/>
  <c r="D13" i="3" s="1"/>
  <c r="C15" i="3"/>
  <c r="F15" i="3"/>
  <c r="D59" i="3"/>
  <c r="G46" i="3"/>
  <c r="G44" i="3" s="1"/>
  <c r="G45" i="3" s="1"/>
  <c r="H46" i="3"/>
  <c r="H44" i="3" s="1"/>
  <c r="H45" i="3" s="1"/>
  <c r="E59" i="3"/>
  <c r="L59" i="3"/>
  <c r="L60" i="3" s="1"/>
  <c r="F46" i="3"/>
  <c r="F44" i="3" s="1"/>
  <c r="F45" i="3" s="1"/>
  <c r="O46" i="3"/>
  <c r="R46" i="3"/>
  <c r="M59" i="3"/>
  <c r="M60" i="3" s="1"/>
  <c r="U59" i="3"/>
  <c r="U60" i="3" s="1"/>
  <c r="N59" i="3"/>
  <c r="N60" i="3" s="1"/>
  <c r="T46" i="3"/>
  <c r="L46" i="3"/>
  <c r="G59" i="3"/>
  <c r="C51" i="1"/>
  <c r="A61" i="1" s="1"/>
  <c r="C46" i="3"/>
  <c r="C44" i="3" s="1"/>
  <c r="C45" i="3" s="1"/>
  <c r="C59" i="3"/>
  <c r="R59" i="3"/>
  <c r="R60" i="3" s="1"/>
  <c r="E46" i="3"/>
  <c r="E44" i="3" s="1"/>
  <c r="E45" i="3" s="1"/>
  <c r="D46" i="3"/>
  <c r="D44" i="3" s="1"/>
  <c r="D45" i="3" s="1"/>
  <c r="M46" i="3"/>
  <c r="C43" i="1"/>
  <c r="C12" i="3" s="1"/>
  <c r="T59" i="3"/>
  <c r="T60" i="3" s="1"/>
  <c r="U46" i="3"/>
  <c r="O59" i="3"/>
  <c r="O60" i="3" s="1"/>
  <c r="F51" i="1"/>
  <c r="F13" i="3" s="1"/>
  <c r="C51" i="2"/>
  <c r="C61" i="5" s="1"/>
  <c r="N46" i="3"/>
  <c r="F43" i="1"/>
  <c r="F12" i="3" s="1"/>
  <c r="J46" i="3"/>
  <c r="V46" i="3"/>
  <c r="K46" i="3"/>
  <c r="E43" i="1"/>
  <c r="Q59" i="3"/>
  <c r="Q60" i="3" s="1"/>
  <c r="S46" i="3"/>
  <c r="D43" i="1"/>
  <c r="S59" i="3"/>
  <c r="S60" i="3" s="1"/>
  <c r="K59" i="3"/>
  <c r="K60" i="3" s="1"/>
  <c r="E51" i="1"/>
  <c r="E13" i="3" s="1"/>
  <c r="G43" i="1"/>
  <c r="F59" i="3"/>
  <c r="I59" i="3"/>
  <c r="I60" i="3" s="1"/>
  <c r="Q46" i="3"/>
  <c r="P46" i="3"/>
  <c r="J59" i="3"/>
  <c r="J60" i="3" s="1"/>
  <c r="V59" i="3"/>
  <c r="V60" i="3" s="1"/>
  <c r="I46" i="3"/>
  <c r="C58" i="5"/>
  <c r="P59" i="3"/>
  <c r="P60" i="3" s="1"/>
  <c r="H59" i="3"/>
  <c r="F4" i="3"/>
  <c r="E32" i="4"/>
  <c r="G51" i="1"/>
  <c r="G13" i="3" s="1"/>
  <c r="C31" i="4"/>
  <c r="C34" i="4"/>
  <c r="C21" i="4"/>
  <c r="C32" i="4"/>
  <c r="C33" i="4"/>
  <c r="E45" i="4"/>
  <c r="G13" i="4"/>
  <c r="D27" i="4"/>
  <c r="D19" i="4"/>
  <c r="D33" i="4" s="1"/>
  <c r="D31" i="4"/>
  <c r="E44" i="4"/>
  <c r="E46" i="4"/>
  <c r="F18" i="4"/>
  <c r="E37" i="4" s="1"/>
  <c r="K18" i="4"/>
  <c r="K37" i="4" s="1"/>
  <c r="E47" i="4"/>
  <c r="G18" i="4"/>
  <c r="N37" i="4"/>
  <c r="M37" i="4"/>
  <c r="D37" i="4"/>
  <c r="I44" i="3" l="1"/>
  <c r="I45" i="3" s="1"/>
  <c r="G50" i="1"/>
  <c r="G14" i="3" s="1"/>
  <c r="G49" i="1"/>
  <c r="G11" i="3"/>
  <c r="G48" i="1"/>
  <c r="G37" i="1"/>
  <c r="D4" i="3"/>
  <c r="J37" i="4"/>
  <c r="H49" i="1"/>
  <c r="G4" i="3"/>
  <c r="C44" i="4"/>
  <c r="C45" i="4"/>
  <c r="C47" i="4"/>
  <c r="C46" i="4"/>
  <c r="G83" i="3"/>
  <c r="G10" i="3"/>
  <c r="H50" i="1"/>
  <c r="H14" i="3" s="1"/>
  <c r="D32" i="4"/>
  <c r="H51" i="1"/>
  <c r="H13" i="3" s="1"/>
  <c r="H37" i="1"/>
  <c r="H11" i="3"/>
  <c r="I21" i="1"/>
  <c r="I8" i="3"/>
  <c r="I43" i="3"/>
  <c r="I2" i="3"/>
  <c r="I36" i="1"/>
  <c r="I50" i="1" s="1"/>
  <c r="I82" i="3"/>
  <c r="I55" i="3"/>
  <c r="J9" i="1"/>
  <c r="H26" i="1"/>
  <c r="G31" i="1" s="1"/>
  <c r="G84" i="3" s="1"/>
  <c r="H41" i="1"/>
  <c r="H57" i="3"/>
  <c r="H56" i="3" s="1"/>
  <c r="H23" i="1"/>
  <c r="H40" i="1"/>
  <c r="H3" i="3" s="1"/>
  <c r="H42" i="1"/>
  <c r="G30" i="1"/>
  <c r="F5" i="3"/>
  <c r="C5" i="3"/>
  <c r="G5" i="3"/>
  <c r="G12" i="3"/>
  <c r="C56" i="3"/>
  <c r="C60" i="3"/>
  <c r="F60" i="3"/>
  <c r="F56" i="3"/>
  <c r="E60" i="3"/>
  <c r="E56" i="3"/>
  <c r="C13" i="3"/>
  <c r="C97" i="5"/>
  <c r="G60" i="3"/>
  <c r="G56" i="3"/>
  <c r="H60" i="3"/>
  <c r="D5" i="3"/>
  <c r="D12" i="3"/>
  <c r="D60" i="3"/>
  <c r="D56" i="3"/>
  <c r="E12" i="3"/>
  <c r="E5" i="3"/>
  <c r="H12" i="3"/>
  <c r="H5" i="3"/>
  <c r="G19" i="4"/>
  <c r="H13" i="4"/>
  <c r="G27" i="4"/>
  <c r="G28" i="4" s="1"/>
  <c r="F19" i="4"/>
  <c r="F33" i="4" s="1"/>
  <c r="D24" i="4"/>
  <c r="D38" i="4"/>
  <c r="D45" i="4"/>
  <c r="D28" i="4"/>
  <c r="D46" i="4"/>
  <c r="D44" i="4"/>
  <c r="D47" i="4"/>
  <c r="G37" i="4"/>
  <c r="F27" i="4"/>
  <c r="F37" i="4"/>
  <c r="D21" i="4"/>
  <c r="C38" i="4"/>
  <c r="D34" i="4"/>
  <c r="I51" i="1" l="1"/>
  <c r="I13" i="3" s="1"/>
  <c r="I49" i="1"/>
  <c r="I48" i="1"/>
  <c r="J44" i="3"/>
  <c r="J45" i="3" s="1"/>
  <c r="J43" i="3"/>
  <c r="J55" i="3"/>
  <c r="J21" i="1"/>
  <c r="J82" i="3"/>
  <c r="J36" i="1"/>
  <c r="J50" i="1" s="1"/>
  <c r="J14" i="3" s="1"/>
  <c r="J8" i="3"/>
  <c r="K9" i="1"/>
  <c r="J2" i="3"/>
  <c r="I14" i="3"/>
  <c r="I11" i="3"/>
  <c r="I37" i="1"/>
  <c r="H4" i="3"/>
  <c r="H15" i="3"/>
  <c r="H83" i="3"/>
  <c r="H10" i="3"/>
  <c r="I26" i="1"/>
  <c r="H31" i="1" s="1"/>
  <c r="H84" i="3" s="1"/>
  <c r="I43" i="1"/>
  <c r="I57" i="3"/>
  <c r="I56" i="3" s="1"/>
  <c r="I42" i="1"/>
  <c r="I41" i="1"/>
  <c r="H30" i="1"/>
  <c r="I23" i="1"/>
  <c r="I40" i="1"/>
  <c r="I3" i="3" s="1"/>
  <c r="F34" i="4"/>
  <c r="G47" i="4"/>
  <c r="F28" i="4"/>
  <c r="F44" i="4"/>
  <c r="F45" i="4"/>
  <c r="F47" i="4"/>
  <c r="F46" i="4"/>
  <c r="F31" i="4"/>
  <c r="H19" i="4"/>
  <c r="G38" i="4" s="1"/>
  <c r="H27" i="4"/>
  <c r="H28" i="4" s="1"/>
  <c r="I13" i="4"/>
  <c r="G45" i="4"/>
  <c r="F21" i="4"/>
  <c r="G46" i="4"/>
  <c r="F32" i="4"/>
  <c r="G24" i="4"/>
  <c r="D39" i="4"/>
  <c r="C39" i="4"/>
  <c r="G33" i="4"/>
  <c r="G32" i="4"/>
  <c r="G21" i="4"/>
  <c r="G44" i="4"/>
  <c r="G31" i="4"/>
  <c r="F24" i="4"/>
  <c r="E38" i="4"/>
  <c r="F38" i="4"/>
  <c r="G34" i="4"/>
  <c r="J48" i="1" l="1"/>
  <c r="J49" i="1"/>
  <c r="A59" i="1"/>
  <c r="C86" i="5" s="1"/>
  <c r="I12" i="3"/>
  <c r="I5" i="3"/>
  <c r="K36" i="1"/>
  <c r="K48" i="1" s="1"/>
  <c r="K82" i="3"/>
  <c r="K8" i="3"/>
  <c r="K55" i="3"/>
  <c r="K2" i="3"/>
  <c r="K43" i="3"/>
  <c r="K21" i="1"/>
  <c r="K44" i="3"/>
  <c r="K45" i="3" s="1"/>
  <c r="L9" i="1"/>
  <c r="J51" i="1"/>
  <c r="J13" i="3" s="1"/>
  <c r="J11" i="3"/>
  <c r="J37" i="1"/>
  <c r="A60" i="1"/>
  <c r="C89" i="5" s="1"/>
  <c r="J43" i="1"/>
  <c r="J23" i="1"/>
  <c r="A57" i="1" s="1"/>
  <c r="C71" i="5" s="1"/>
  <c r="I30" i="1"/>
  <c r="J41" i="1"/>
  <c r="J26" i="1"/>
  <c r="I31" i="1" s="1"/>
  <c r="I84" i="3" s="1"/>
  <c r="J40" i="1"/>
  <c r="J3" i="3" s="1"/>
  <c r="J57" i="3"/>
  <c r="J56" i="3" s="1"/>
  <c r="A56" i="1"/>
  <c r="C69" i="5" s="1"/>
  <c r="J42" i="1"/>
  <c r="I15" i="3"/>
  <c r="I4" i="3"/>
  <c r="I83" i="3"/>
  <c r="I10" i="3"/>
  <c r="H47" i="4"/>
  <c r="H45" i="4"/>
  <c r="H44" i="4"/>
  <c r="H46" i="4"/>
  <c r="E39" i="4"/>
  <c r="F39" i="4"/>
  <c r="H33" i="4"/>
  <c r="H34" i="4"/>
  <c r="H24" i="4"/>
  <c r="G39" i="4" s="1"/>
  <c r="H31" i="4"/>
  <c r="H21" i="4"/>
  <c r="H32" i="4"/>
  <c r="J13" i="4"/>
  <c r="I19" i="4"/>
  <c r="H38" i="4" s="1"/>
  <c r="I27" i="4"/>
  <c r="I28" i="4" s="1"/>
  <c r="K49" i="1" l="1"/>
  <c r="K51" i="1"/>
  <c r="K13" i="3" s="1"/>
  <c r="K50" i="1"/>
  <c r="K14" i="3" s="1"/>
  <c r="L36" i="1"/>
  <c r="L49" i="1" s="1"/>
  <c r="M9" i="1"/>
  <c r="L8" i="3"/>
  <c r="L82" i="3"/>
  <c r="L43" i="3"/>
  <c r="L55" i="3"/>
  <c r="L2" i="3"/>
  <c r="L44" i="3"/>
  <c r="L45" i="3" s="1"/>
  <c r="L21" i="1"/>
  <c r="J30" i="1"/>
  <c r="K41" i="1"/>
  <c r="K23" i="1"/>
  <c r="K40" i="1"/>
  <c r="K3" i="3" s="1"/>
  <c r="K57" i="3"/>
  <c r="K56" i="3" s="1"/>
  <c r="K43" i="1"/>
  <c r="K42" i="1"/>
  <c r="K26" i="1"/>
  <c r="J31" i="1" s="1"/>
  <c r="J84" i="3" s="1"/>
  <c r="J10" i="3"/>
  <c r="J83" i="3"/>
  <c r="J12" i="3"/>
  <c r="J5" i="3"/>
  <c r="J15" i="3"/>
  <c r="J4" i="3"/>
  <c r="K37" i="1"/>
  <c r="K11" i="3"/>
  <c r="I45" i="4"/>
  <c r="I46" i="4"/>
  <c r="I44" i="4"/>
  <c r="I47" i="4"/>
  <c r="I21" i="4"/>
  <c r="I33" i="4"/>
  <c r="I24" i="4"/>
  <c r="I31" i="4"/>
  <c r="I34" i="4"/>
  <c r="I32" i="4"/>
  <c r="J27" i="4"/>
  <c r="J44" i="4" s="1"/>
  <c r="K13" i="4"/>
  <c r="J19" i="4"/>
  <c r="A52" i="4" s="1"/>
  <c r="A58" i="1" l="1"/>
  <c r="C80" i="5" s="1"/>
  <c r="L48" i="1"/>
  <c r="L50" i="1"/>
  <c r="L14" i="3" s="1"/>
  <c r="J47" i="4"/>
  <c r="A57" i="4" s="1"/>
  <c r="K30" i="1"/>
  <c r="L40" i="1"/>
  <c r="L3" i="3" s="1"/>
  <c r="L42" i="1"/>
  <c r="L23" i="1"/>
  <c r="L26" i="1"/>
  <c r="K31" i="1" s="1"/>
  <c r="K84" i="3" s="1"/>
  <c r="L43" i="1"/>
  <c r="L41" i="1"/>
  <c r="L57" i="3"/>
  <c r="L56" i="3" s="1"/>
  <c r="K15" i="3"/>
  <c r="K4" i="3"/>
  <c r="K10" i="3"/>
  <c r="K83" i="3"/>
  <c r="K12" i="3"/>
  <c r="K5" i="3"/>
  <c r="M44" i="3"/>
  <c r="M45" i="3" s="1"/>
  <c r="M55" i="3"/>
  <c r="M82" i="3"/>
  <c r="N9" i="1"/>
  <c r="M36" i="1"/>
  <c r="M48" i="1" s="1"/>
  <c r="M8" i="3"/>
  <c r="M2" i="3"/>
  <c r="M21" i="1"/>
  <c r="M43" i="3"/>
  <c r="L51" i="1"/>
  <c r="L13" i="3" s="1"/>
  <c r="L37" i="1"/>
  <c r="L11" i="3"/>
  <c r="J46" i="4"/>
  <c r="J45" i="4"/>
  <c r="I38" i="4"/>
  <c r="H39" i="4"/>
  <c r="J28" i="4"/>
  <c r="J24" i="4"/>
  <c r="A55" i="4"/>
  <c r="J21" i="4"/>
  <c r="A53" i="4" s="1"/>
  <c r="J31" i="4"/>
  <c r="J33" i="4"/>
  <c r="J32" i="4"/>
  <c r="J34" i="4"/>
  <c r="K27" i="4"/>
  <c r="K28" i="4" s="1"/>
  <c r="L13" i="4"/>
  <c r="K19" i="4"/>
  <c r="J38" i="4" s="1"/>
  <c r="A54" i="4"/>
  <c r="K47" i="4" l="1"/>
  <c r="K44" i="4"/>
  <c r="M49" i="1"/>
  <c r="K45" i="4"/>
  <c r="M50" i="1"/>
  <c r="M14" i="3" s="1"/>
  <c r="K46" i="4"/>
  <c r="M40" i="1"/>
  <c r="M3" i="3" s="1"/>
  <c r="M41" i="1"/>
  <c r="M42" i="1"/>
  <c r="M43" i="1"/>
  <c r="M57" i="3"/>
  <c r="M56" i="3" s="1"/>
  <c r="M26" i="1"/>
  <c r="L31" i="1" s="1"/>
  <c r="L84" i="3" s="1"/>
  <c r="L30" i="1"/>
  <c r="M23" i="1"/>
  <c r="M51" i="1"/>
  <c r="M13" i="3" s="1"/>
  <c r="M11" i="3"/>
  <c r="M37" i="1"/>
  <c r="N55" i="3"/>
  <c r="N36" i="1"/>
  <c r="N50" i="1" s="1"/>
  <c r="N14" i="3" s="1"/>
  <c r="N2" i="3"/>
  <c r="N21" i="1"/>
  <c r="N44" i="3"/>
  <c r="N45" i="3" s="1"/>
  <c r="N43" i="3"/>
  <c r="N8" i="3"/>
  <c r="O9" i="1"/>
  <c r="N82" i="3"/>
  <c r="L12" i="3"/>
  <c r="L5" i="3"/>
  <c r="L83" i="3"/>
  <c r="L10" i="3"/>
  <c r="L15" i="3"/>
  <c r="L4" i="3"/>
  <c r="M13" i="4"/>
  <c r="L27" i="4"/>
  <c r="L28" i="4" s="1"/>
  <c r="L19" i="4"/>
  <c r="K38" i="4" s="1"/>
  <c r="K24" i="4"/>
  <c r="K34" i="4"/>
  <c r="K32" i="4"/>
  <c r="K31" i="4"/>
  <c r="K21" i="4"/>
  <c r="K33" i="4"/>
  <c r="I39" i="4"/>
  <c r="N48" i="1" l="1"/>
  <c r="N51" i="1"/>
  <c r="N13" i="3" s="1"/>
  <c r="O2" i="3"/>
  <c r="O36" i="1"/>
  <c r="O50" i="1" s="1"/>
  <c r="O14" i="3" s="1"/>
  <c r="O82" i="3"/>
  <c r="P9" i="1"/>
  <c r="O44" i="3"/>
  <c r="O45" i="3" s="1"/>
  <c r="O8" i="3"/>
  <c r="O21" i="1"/>
  <c r="O43" i="3"/>
  <c r="O55" i="3"/>
  <c r="M10" i="3"/>
  <c r="M83" i="3"/>
  <c r="M12" i="3"/>
  <c r="M5" i="3"/>
  <c r="M30" i="1"/>
  <c r="N23" i="1"/>
  <c r="N43" i="1"/>
  <c r="N40" i="1"/>
  <c r="N3" i="3" s="1"/>
  <c r="N41" i="1"/>
  <c r="N42" i="1"/>
  <c r="N26" i="1"/>
  <c r="N57" i="3"/>
  <c r="N56" i="3" s="1"/>
  <c r="M15" i="3"/>
  <c r="M4" i="3"/>
  <c r="N49" i="1"/>
  <c r="N37" i="1"/>
  <c r="N11" i="3"/>
  <c r="L47" i="4"/>
  <c r="L44" i="4"/>
  <c r="L46" i="4"/>
  <c r="L45" i="4"/>
  <c r="L24" i="4"/>
  <c r="K39" i="4" s="1"/>
  <c r="L31" i="4"/>
  <c r="L32" i="4"/>
  <c r="L34" i="4"/>
  <c r="L21" i="4"/>
  <c r="L33" i="4"/>
  <c r="N13" i="4"/>
  <c r="M27" i="4"/>
  <c r="M28" i="4" s="1"/>
  <c r="M19" i="4"/>
  <c r="L38" i="4" s="1"/>
  <c r="J39" i="4"/>
  <c r="A56" i="4" s="1"/>
  <c r="O48" i="1" l="1"/>
  <c r="O51" i="1"/>
  <c r="O13" i="3" s="1"/>
  <c r="M31" i="1"/>
  <c r="M84" i="3" s="1"/>
  <c r="N4" i="3"/>
  <c r="N15" i="3"/>
  <c r="N30" i="1"/>
  <c r="O57" i="3"/>
  <c r="O56" i="3" s="1"/>
  <c r="O43" i="1"/>
  <c r="O40" i="1"/>
  <c r="O3" i="3" s="1"/>
  <c r="O26" i="1"/>
  <c r="N31" i="1" s="1"/>
  <c r="N84" i="3" s="1"/>
  <c r="O23" i="1"/>
  <c r="O42" i="1"/>
  <c r="O41" i="1"/>
  <c r="N83" i="3"/>
  <c r="N10" i="3"/>
  <c r="P36" i="1"/>
  <c r="P48" i="1" s="1"/>
  <c r="P8" i="3"/>
  <c r="P55" i="3"/>
  <c r="P21" i="1"/>
  <c r="O30" i="1" s="1"/>
  <c r="Q9" i="1"/>
  <c r="P2" i="3"/>
  <c r="P43" i="3"/>
  <c r="P44" i="3"/>
  <c r="P45" i="3" s="1"/>
  <c r="P82" i="3"/>
  <c r="O49" i="1"/>
  <c r="O11" i="3"/>
  <c r="O37" i="1"/>
  <c r="N5" i="3"/>
  <c r="N12" i="3"/>
  <c r="M45" i="4"/>
  <c r="M46" i="4"/>
  <c r="M47" i="4"/>
  <c r="M44" i="4"/>
  <c r="O13" i="4"/>
  <c r="N27" i="4"/>
  <c r="N28" i="4" s="1"/>
  <c r="N19" i="4"/>
  <c r="M38" i="4" s="1"/>
  <c r="M24" i="4"/>
  <c r="L39" i="4" s="1"/>
  <c r="M31" i="4"/>
  <c r="M33" i="4"/>
  <c r="M21" i="4"/>
  <c r="M32" i="4"/>
  <c r="M34" i="4"/>
  <c r="P49" i="1" l="1"/>
  <c r="P50" i="1"/>
  <c r="P14" i="3" s="1"/>
  <c r="O83" i="3"/>
  <c r="O10" i="3"/>
  <c r="Q43" i="3"/>
  <c r="Q55" i="3"/>
  <c r="Q2" i="3"/>
  <c r="Q82" i="3"/>
  <c r="Q36" i="1"/>
  <c r="Q50" i="1" s="1"/>
  <c r="Q14" i="3" s="1"/>
  <c r="Q8" i="3"/>
  <c r="R9" i="1"/>
  <c r="Q21" i="1"/>
  <c r="Q44" i="3"/>
  <c r="Q45" i="3" s="1"/>
  <c r="P26" i="1"/>
  <c r="O31" i="1" s="1"/>
  <c r="O84" i="3" s="1"/>
  <c r="P23" i="1"/>
  <c r="P57" i="3"/>
  <c r="P56" i="3" s="1"/>
  <c r="P41" i="1"/>
  <c r="P40" i="1"/>
  <c r="P3" i="3" s="1"/>
  <c r="P43" i="1"/>
  <c r="P42" i="1"/>
  <c r="O5" i="3"/>
  <c r="O12" i="3"/>
  <c r="O15" i="3"/>
  <c r="O4" i="3"/>
  <c r="P51" i="1"/>
  <c r="P13" i="3" s="1"/>
  <c r="P11" i="3"/>
  <c r="P37" i="1"/>
  <c r="N44" i="4"/>
  <c r="N45" i="4"/>
  <c r="N47" i="4"/>
  <c r="N46" i="4"/>
  <c r="N24" i="4"/>
  <c r="N33" i="4"/>
  <c r="N21" i="4"/>
  <c r="N32" i="4"/>
  <c r="N34" i="4"/>
  <c r="N31" i="4"/>
  <c r="O27" i="4"/>
  <c r="O28" i="4" s="1"/>
  <c r="P13" i="4"/>
  <c r="O19" i="4"/>
  <c r="N38" i="4" s="1"/>
  <c r="Q48" i="1" l="1"/>
  <c r="Q51" i="1"/>
  <c r="Q13" i="3" s="1"/>
  <c r="P30" i="1"/>
  <c r="Q26" i="1"/>
  <c r="P31" i="1" s="1"/>
  <c r="P84" i="3" s="1"/>
  <c r="Q40" i="1"/>
  <c r="Q3" i="3" s="1"/>
  <c r="Q43" i="1"/>
  <c r="Q57" i="3"/>
  <c r="Q56" i="3" s="1"/>
  <c r="Q42" i="1"/>
  <c r="Q41" i="1"/>
  <c r="Q23" i="1"/>
  <c r="R2" i="3"/>
  <c r="R43" i="3"/>
  <c r="R8" i="3"/>
  <c r="S9" i="1"/>
  <c r="R55" i="3"/>
  <c r="R44" i="3"/>
  <c r="R45" i="3" s="1"/>
  <c r="R82" i="3"/>
  <c r="Q49" i="1"/>
  <c r="Q37" i="1"/>
  <c r="Q11" i="3"/>
  <c r="P15" i="3"/>
  <c r="P4" i="3"/>
  <c r="P12" i="3"/>
  <c r="P5" i="3"/>
  <c r="P83" i="3"/>
  <c r="P10" i="3"/>
  <c r="O47" i="4"/>
  <c r="O46" i="4"/>
  <c r="O45" i="4"/>
  <c r="O44" i="4"/>
  <c r="M39" i="4"/>
  <c r="O24" i="4"/>
  <c r="O33" i="4"/>
  <c r="O34" i="4"/>
  <c r="O21" i="4"/>
  <c r="O32" i="4"/>
  <c r="O31" i="4"/>
  <c r="P27" i="4"/>
  <c r="P28" i="4" s="1"/>
  <c r="P19" i="4"/>
  <c r="Q13" i="4"/>
  <c r="P46" i="4" l="1"/>
  <c r="S43" i="3"/>
  <c r="S82" i="3"/>
  <c r="S2" i="3"/>
  <c r="S44" i="3"/>
  <c r="S45" i="3" s="1"/>
  <c r="S8" i="3"/>
  <c r="S55" i="3"/>
  <c r="T9" i="1"/>
  <c r="Q83" i="3"/>
  <c r="Q10" i="3"/>
  <c r="Q4" i="3"/>
  <c r="Q15" i="3"/>
  <c r="Q12" i="3"/>
  <c r="Q5" i="3"/>
  <c r="P45" i="4"/>
  <c r="P44" i="4"/>
  <c r="P47" i="4"/>
  <c r="P32" i="4"/>
  <c r="P34" i="4"/>
  <c r="P21" i="4"/>
  <c r="P24" i="4"/>
  <c r="O39" i="4" s="1"/>
  <c r="P33" i="4"/>
  <c r="P31" i="4"/>
  <c r="O38" i="4"/>
  <c r="Q27" i="4"/>
  <c r="Q28" i="4" s="1"/>
  <c r="R13" i="4"/>
  <c r="S13" i="4" s="1"/>
  <c r="T13" i="4" s="1"/>
  <c r="U13" i="4" s="1"/>
  <c r="V13" i="4" s="1"/>
  <c r="Q19" i="4"/>
  <c r="N39" i="4"/>
  <c r="T55" i="3" l="1"/>
  <c r="T43" i="3"/>
  <c r="T2" i="3"/>
  <c r="T82" i="3"/>
  <c r="T8" i="3"/>
  <c r="T44" i="3"/>
  <c r="T45" i="3" s="1"/>
  <c r="U9" i="1"/>
  <c r="Q45" i="4"/>
  <c r="Q44" i="4"/>
  <c r="Q47" i="4"/>
  <c r="Q46" i="4"/>
  <c r="Q24" i="4"/>
  <c r="P39" i="4" s="1"/>
  <c r="Q34" i="4"/>
  <c r="Q31" i="4"/>
  <c r="Q21" i="4"/>
  <c r="Q33" i="4"/>
  <c r="Q32" i="4"/>
  <c r="P38" i="4"/>
  <c r="U82" i="3" l="1"/>
  <c r="U55" i="3"/>
  <c r="V9" i="1"/>
  <c r="U43" i="3"/>
  <c r="U44" i="3"/>
  <c r="U45" i="3" s="1"/>
  <c r="U2" i="3"/>
  <c r="U8" i="3"/>
  <c r="V82" i="3" l="1"/>
  <c r="V43" i="3"/>
  <c r="V44" i="3"/>
  <c r="V45" i="3" s="1"/>
  <c r="V2" i="3"/>
  <c r="V8" i="3"/>
  <c r="V55" i="3"/>
</calcChain>
</file>

<file path=xl/sharedStrings.xml><?xml version="1.0" encoding="utf-8"?>
<sst xmlns="http://schemas.openxmlformats.org/spreadsheetml/2006/main" count="236" uniqueCount="178">
  <si>
    <t>Over Operating Costs</t>
  </si>
  <si>
    <t>Over Operating &amp; Labour Costs</t>
  </si>
  <si>
    <t>Over Operating &amp; Fixed Costs</t>
  </si>
  <si>
    <t>Over Total Costs (Net Profit)</t>
  </si>
  <si>
    <t>lbs</t>
  </si>
  <si>
    <t>Printed:</t>
  </si>
  <si>
    <t xml:space="preserve">Created and maintained by </t>
  </si>
  <si>
    <t xml:space="preserve">For more information, contact your local </t>
  </si>
  <si>
    <t>Roy Arnott</t>
  </si>
  <si>
    <t>Benjamin Hamm</t>
  </si>
  <si>
    <r>
      <t xml:space="preserve">*** Enter changes to values to items in </t>
    </r>
    <r>
      <rPr>
        <b/>
        <sz val="12"/>
        <color indexed="12"/>
        <rFont val="Arial"/>
        <family val="2"/>
      </rPr>
      <t>BLUE</t>
    </r>
    <r>
      <rPr>
        <b/>
        <sz val="12"/>
        <color indexed="48"/>
        <rFont val="Arial"/>
        <family val="2"/>
      </rPr>
      <t xml:space="preserve"> </t>
    </r>
    <r>
      <rPr>
        <b/>
        <sz val="12"/>
        <rFont val="Arial"/>
        <family val="2"/>
      </rPr>
      <t>only ***</t>
    </r>
  </si>
  <si>
    <t>Farm Management Specialist</t>
  </si>
  <si>
    <t xml:space="preserve">                                         </t>
  </si>
  <si>
    <r>
      <rPr>
        <b/>
        <sz val="10"/>
        <rFont val="Arial"/>
        <family val="2"/>
      </rPr>
      <t xml:space="preserve">Note: </t>
    </r>
    <r>
      <rPr>
        <sz val="10"/>
        <rFont val="Arial"/>
        <family val="2"/>
      </rPr>
      <t>This budget is only a guide and is not intended as an in-depth study of the cost of production of this industry. Interpretation and use of this information is the responsibility of the user</t>
    </r>
  </si>
  <si>
    <t>A.  Operating Costs</t>
  </si>
  <si>
    <t>1.  Feed Costs</t>
  </si>
  <si>
    <t>Total Feed Cost</t>
  </si>
  <si>
    <t>2.  Other Operating Costs</t>
  </si>
  <si>
    <t/>
  </si>
  <si>
    <t xml:space="preserve">    2.05   Utilities</t>
  </si>
  <si>
    <t xml:space="preserve">    2.08   Manure Removal</t>
  </si>
  <si>
    <t>Subtotal Operating Costs</t>
  </si>
  <si>
    <t>Total Operating Costs</t>
  </si>
  <si>
    <t>B.  Fixed Costs</t>
  </si>
  <si>
    <t>3.  Depreciation</t>
  </si>
  <si>
    <t xml:space="preserve">    3.01   Buildings</t>
  </si>
  <si>
    <t xml:space="preserve">    3.02   Machinery &amp; Equipment</t>
  </si>
  <si>
    <t>4.  Investment</t>
  </si>
  <si>
    <t xml:space="preserve">    4.01   Buildings</t>
  </si>
  <si>
    <t xml:space="preserve">    4.02   Machinery &amp; Equipment</t>
  </si>
  <si>
    <t>Total Fixed Costs</t>
  </si>
  <si>
    <t>Total Operating and Fixed Costs</t>
  </si>
  <si>
    <t>C.  Labour</t>
  </si>
  <si>
    <t>Total Cost of Production</t>
  </si>
  <si>
    <t>Insured Weight</t>
  </si>
  <si>
    <t>Number of Calves</t>
  </si>
  <si>
    <t>head</t>
  </si>
  <si>
    <t>Total Insured Weight</t>
  </si>
  <si>
    <t>Operating Costs</t>
  </si>
  <si>
    <t>Operating &amp; Fixed Costs</t>
  </si>
  <si>
    <t>Total Costs</t>
  </si>
  <si>
    <t>WLPIP Analysis</t>
  </si>
  <si>
    <t>WLPIP Premium Table</t>
  </si>
  <si>
    <t xml:space="preserve">For more information on production costs, </t>
  </si>
  <si>
    <t>April, 2017</t>
  </si>
  <si>
    <t>. . . . . . . . . . . . . . . . . . . . . . . . . . . . . . . . . . . . . . . . . . . . . . . . . . . . . . . . . . . . . . . . . . . . . . . . . . . . . . . . . . . . . . . . . . . . . . . . . . . . . . . . . . . . . . . . . . . . . . . . . . .</t>
  </si>
  <si>
    <t>$ / cwt</t>
  </si>
  <si>
    <t>Operating &amp; Labour Costs</t>
  </si>
  <si>
    <t>Profitability Analysis</t>
  </si>
  <si>
    <t>Premium Cost (% of Insured Value)</t>
  </si>
  <si>
    <t>Premium Cost ($ per Head)</t>
  </si>
  <si>
    <t>Insured Value ($ per Head)</t>
  </si>
  <si>
    <t>Successfully managing and planning your business success starts with you. Contact your local                                                                           for the support, advice and resources you need to make sound decisions for the
continued success of your farm business.  If you have questions,                          and a                                                                    will contact you.</t>
  </si>
  <si>
    <t>WLPIP - Decision Calculator</t>
  </si>
  <si>
    <t>Cost per $1 of Increased Coverage</t>
  </si>
  <si>
    <t>Insured Index ($/cwt)</t>
  </si>
  <si>
    <t>Premium ($/cwt)</t>
  </si>
  <si>
    <t>Incremental Coverage Cost (compared to next lower level)</t>
  </si>
  <si>
    <t>Estimated Settlement Price</t>
  </si>
  <si>
    <t xml:space="preserve"> $/cwt</t>
  </si>
  <si>
    <t>WLPIP ($ per Head)</t>
  </si>
  <si>
    <t>January</t>
  </si>
  <si>
    <t>February</t>
  </si>
  <si>
    <t>March</t>
  </si>
  <si>
    <t>April</t>
  </si>
  <si>
    <t>May</t>
  </si>
  <si>
    <t>June</t>
  </si>
  <si>
    <t>July</t>
  </si>
  <si>
    <t>August</t>
  </si>
  <si>
    <t>September</t>
  </si>
  <si>
    <t>October</t>
  </si>
  <si>
    <t>November</t>
  </si>
  <si>
    <t>December</t>
  </si>
  <si>
    <t>Premium Table as of:</t>
  </si>
  <si>
    <t>Costs per Head (incl. WLPIP Premium) Not Covered By the WLPIP Insured Value</t>
  </si>
  <si>
    <t>Analysis Formulas:</t>
  </si>
  <si>
    <t>Labour</t>
  </si>
  <si>
    <t>Fixed Costs</t>
  </si>
  <si>
    <t>$/cwt Exposed Risk</t>
  </si>
  <si>
    <t>Potential Market Price</t>
  </si>
  <si>
    <t>$/cwt Reward = Market Price - B/E price pver total costs</t>
  </si>
  <si>
    <t>$/cwt Exposed Risk = B/E price over total costs - insured index</t>
  </si>
  <si>
    <t>B/E price over total costs = toal costs / # cwt</t>
  </si>
  <si>
    <t>Total Production Costs</t>
  </si>
  <si>
    <t>WLPIP Coverage of Total Costs (Risk)</t>
  </si>
  <si>
    <t>total</t>
  </si>
  <si>
    <t>Maximum WLPIP Premium</t>
  </si>
  <si>
    <t>***Note that you want to cap the max prememum, but you run out of room for animals and lbs.</t>
  </si>
  <si>
    <t>…………………</t>
  </si>
  <si>
    <t>This is now junk</t>
  </si>
  <si>
    <t>Maximum Insured Weight</t>
  </si>
  <si>
    <t>$/cwt WLPIP Covered Risk</t>
  </si>
  <si>
    <r>
      <t xml:space="preserve">*** Enter changes to values to items in </t>
    </r>
    <r>
      <rPr>
        <b/>
        <sz val="11"/>
        <color indexed="12"/>
        <rFont val="Arial"/>
        <family val="2"/>
      </rPr>
      <t>BLUE</t>
    </r>
    <r>
      <rPr>
        <b/>
        <sz val="11"/>
        <color indexed="48"/>
        <rFont val="Arial"/>
        <family val="2"/>
      </rPr>
      <t xml:space="preserve"> </t>
    </r>
    <r>
      <rPr>
        <b/>
        <sz val="11"/>
        <rFont val="Arial"/>
        <family val="2"/>
      </rPr>
      <t>only ***</t>
    </r>
  </si>
  <si>
    <t>Estimated Potential Market Price</t>
  </si>
  <si>
    <t>(used for Risk &amp; Reward analysis below)</t>
  </si>
  <si>
    <t>Click on Premiums and Settlements:</t>
  </si>
  <si>
    <t xml:space="preserve">Enter Insured Index ($/cwt) </t>
  </si>
  <si>
    <t xml:space="preserve">Enter Premiums ($/cwt) </t>
  </si>
  <si>
    <t xml:space="preserve">Enter Insured Weight (lbs) </t>
  </si>
  <si>
    <t xml:space="preserve">Enter Number of Calves (head) </t>
  </si>
  <si>
    <t xml:space="preserve">Total Insured Weight (lbs) </t>
  </si>
  <si>
    <t xml:space="preserve">Enter Estimated Settlement Price ($/cwt) </t>
  </si>
  <si>
    <t>Review Premium Cost</t>
  </si>
  <si>
    <t>Review Insured Value</t>
  </si>
  <si>
    <t>Review Total Premium Cost</t>
  </si>
  <si>
    <t>Analysis Formulas Used:</t>
  </si>
  <si>
    <t>Step#5:  Profitability Analysis</t>
  </si>
  <si>
    <t>Review Incremental Coverage Cost Cost</t>
  </si>
  <si>
    <t>Step #5 - Profitability Analysis:</t>
  </si>
  <si>
    <t>Review Marginal Returns (Profitability)</t>
  </si>
  <si>
    <t>The cost per dollar of increased coverage to move up from the next lower coverage level to a higher level of coverage.</t>
  </si>
  <si>
    <t>Backgrounding Production Costs - Input</t>
  </si>
  <si>
    <t>Cost/Head</t>
  </si>
  <si>
    <t xml:space="preserve">    1.01   Alfalfa Grass Hay</t>
  </si>
  <si>
    <t xml:space="preserve">    1.02   Corn Silage </t>
  </si>
  <si>
    <t xml:space="preserve">    1.03   Barley Grain </t>
  </si>
  <si>
    <t xml:space="preserve">    1.04   DDGS</t>
  </si>
  <si>
    <t xml:space="preserve">    1.05   2:1 Premix</t>
  </si>
  <si>
    <t xml:space="preserve">    1.06   Limestone</t>
  </si>
  <si>
    <t xml:space="preserve">    2.01   Feeder Cost </t>
  </si>
  <si>
    <t>2.01  Feeder Cattle Cost Input</t>
  </si>
  <si>
    <t xml:space="preserve">    2.02   Straw</t>
  </si>
  <si>
    <t>Feeder</t>
  </si>
  <si>
    <t>lbs/feeder</t>
  </si>
  <si>
    <t xml:space="preserve">    2.03   Veterinary Medicine &amp; Supplies</t>
  </si>
  <si>
    <t>x</t>
  </si>
  <si>
    <t>/cwt</t>
  </si>
  <si>
    <t xml:space="preserve">    2.04   Annual Fuel &amp; Repair Costs</t>
  </si>
  <si>
    <t>÷</t>
  </si>
  <si>
    <t>lbs/cwt</t>
  </si>
  <si>
    <t>=</t>
  </si>
  <si>
    <t>/feeder</t>
  </si>
  <si>
    <t xml:space="preserve">    2.06  Feeder Selling Costs</t>
  </si>
  <si>
    <t>Commission</t>
  </si>
  <si>
    <t xml:space="preserve">    2.07   Insurance </t>
  </si>
  <si>
    <t>Insurance</t>
  </si>
  <si>
    <t>Trucking-in</t>
  </si>
  <si>
    <t xml:space="preserve">    2.09   Barn and Office Supplies </t>
  </si>
  <si>
    <t xml:space="preserve">    2.10   Death Loss</t>
  </si>
  <si>
    <t xml:space="preserve">    2.11   Operating Interest</t>
  </si>
  <si>
    <r>
      <rPr>
        <b/>
        <sz val="12"/>
        <rFont val="Arial"/>
        <family val="2"/>
      </rPr>
      <t>Premiums</t>
    </r>
    <r>
      <rPr>
        <sz val="12"/>
        <rFont val="Arial"/>
        <family val="2"/>
      </rPr>
      <t xml:space="preserve"> - to get current WLPIP Premiums, </t>
    </r>
    <r>
      <rPr>
        <u/>
        <sz val="12"/>
        <rFont val="Arial"/>
        <family val="2"/>
      </rPr>
      <t>select program</t>
    </r>
    <r>
      <rPr>
        <sz val="12"/>
        <rFont val="Arial"/>
        <family val="2"/>
      </rPr>
      <t xml:space="preserve"> - from the dropdown menu (ie. 'WCPIP-Feeder'), </t>
    </r>
    <r>
      <rPr>
        <u/>
        <sz val="12"/>
        <rFont val="Arial"/>
        <family val="2"/>
      </rPr>
      <t>select option</t>
    </r>
    <r>
      <rPr>
        <sz val="12"/>
        <rFont val="Arial"/>
        <family val="2"/>
      </rPr>
      <t xml:space="preserve"> - from the dropdown menu (ie. 'SaskMan'), </t>
    </r>
    <r>
      <rPr>
        <u/>
        <sz val="12"/>
        <rFont val="Arial"/>
        <family val="2"/>
      </rPr>
      <t>select date</t>
    </r>
    <r>
      <rPr>
        <sz val="12"/>
        <rFont val="Arial"/>
        <family val="2"/>
      </rPr>
      <t xml:space="preserve">, and click the green 'Go' button. </t>
    </r>
  </si>
  <si>
    <t>Enter the Insured Weight (lbs) in the calculator.  This could be the average calf market weight per head on your farm, for example - 873 lbs or simply the number of pounds per head that you would like to insure, for example - 100 lbs.</t>
  </si>
  <si>
    <t>Enter the number of Feeders (head) in the calculator.  This could be the total number of market calves on your farm, for example - 100 head or simply the number of head that you would like to insure, for example - 10 head.</t>
  </si>
  <si>
    <t>Review Backgrounding Cost of Production Values</t>
  </si>
  <si>
    <t xml:space="preserve">Break Even Selling Price </t>
  </si>
  <si>
    <t xml:space="preserve">Over Operating and Fixed </t>
  </si>
  <si>
    <t xml:space="preserve">Over Operating Fixed and Labour </t>
  </si>
  <si>
    <t xml:space="preserve">Over Operating Cost </t>
  </si>
  <si>
    <t>LPI - Decision Calculator</t>
  </si>
  <si>
    <t>Step #1:  LPIP Premium Table</t>
  </si>
  <si>
    <t>Step#2:  LPIP - Insured Feeders on Your Farm</t>
  </si>
  <si>
    <t>Step#3:  LPIP Analysis - Premiums &amp; Insured Value</t>
  </si>
  <si>
    <t>Step#4:  Estimated LPIP Payments &amp; Production Costs Not Covered Analysis</t>
  </si>
  <si>
    <t>LPIP ($ per Head)</t>
  </si>
  <si>
    <t>Costs per Head (incl. LPIP Premium) Not Covered By the LPIP Insured Value</t>
  </si>
  <si>
    <t xml:space="preserve">LPIP Decision Calculator - User Guide </t>
  </si>
  <si>
    <r>
      <rPr>
        <b/>
        <sz val="12"/>
        <rFont val="Arial"/>
        <family val="2"/>
      </rPr>
      <t>LPIP Decision Calculator</t>
    </r>
    <r>
      <rPr>
        <sz val="12"/>
        <rFont val="Arial"/>
        <family val="2"/>
      </rPr>
      <t xml:space="preserve"> can be used by Manitoba farm producers to assist in the determination the LPIP coverage levels to manage livestock price risk by setting a 'floor price' for their farm.  Follow the steps below to successfully use the calculator for your farm. </t>
    </r>
  </si>
  <si>
    <t>Step #1 - LPIP Premium Table:</t>
  </si>
  <si>
    <t>Step #2 - LPIP Insured Feeders on Your Farm:</t>
  </si>
  <si>
    <t>Step #3 - LPIP Analysis - Premiums &amp; Insured Value:</t>
  </si>
  <si>
    <t xml:space="preserve">Total premium - if you have a maximum dollar amount that you have decided on for LPIP, note the insured index ($/cwt) review the analysis in Step#4 and determine if it is a suitable level of risk coverage for your farm.   </t>
  </si>
  <si>
    <t>Step #4 - Estimated LPIP Payments  &amp; Production Costs Not Covered:</t>
  </si>
  <si>
    <t>Review Estimated LPIP Payment</t>
  </si>
  <si>
    <t>Review Production Costs Not Covered by the LPIP Insured Price</t>
  </si>
  <si>
    <t>Knowing your farms profitability at the estimated settlement price plus the LPIP payment can help you determine a LPIP Insured Index ($/cwt) that adequately manages both your risk and liabilities.</t>
  </si>
  <si>
    <t xml:space="preserve">Knowing your farm's operating, fixed and labour costs not covered by each LPIP Insured Price alongside your breakeven prices (in Step#2 above) can help you determine a LPIP Insured Index ($/cwt) that adequately manages both your risk and liabilities. </t>
  </si>
  <si>
    <t>Costs Not Covered By LPIP Insured Value</t>
  </si>
  <si>
    <t>LPIP - Per Head</t>
  </si>
  <si>
    <t>LPIP - Monetizing Risk &amp; Reward ($/cwt)</t>
  </si>
  <si>
    <t>LPIP - Risk &amp; Reward Analysis</t>
  </si>
  <si>
    <t>LPIP - Insured Value Analysis</t>
  </si>
  <si>
    <t>Total Costs per Head (incl. LPIP Premium) Not Covered By the LPIP Insured Value</t>
  </si>
  <si>
    <t>Op. &amp; Fixed Costs per Head (incl. LPIP Premium) Not Covered By the LPIP Insured Value</t>
  </si>
  <si>
    <t>Go to LPI - Feeder website</t>
  </si>
  <si>
    <t>Enter the corresponding LPIP Premiums ($/cwt) for each Insured Index price into the calculator.  For example, the 28 weeks 22-April-2024, $332 ($/cwt) premium is $8.64 ($/cwt)</t>
  </si>
  <si>
    <t>Enter the highest LPIP Insured Index for the time period you would like to chose into the calculator.  For example, the 28 weeks 22-April-2024 highest Insured Index is $332 ($/cwt).</t>
  </si>
  <si>
    <t>Enter a potential Settlement Price ($/cwt) in the calculator.  This would ususally be a value below the highest insured index.  For example - $220/cwt.  This is used to estimate potential LPIP program payments at a lower market price.</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</si>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</sst>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4" formatCode="_-&quot;$&quot;* #,##0.00_-;\-&quot;$&quot;* #,##0.00_-;_-&quot;$&quot;* &quot;-&quot;??_-;_-@_-"/>
    <numFmt numFmtId="164" formatCode="&quot;$&quot;#,##0.00_);\(&quot;$&quot;#,##0.00\)"/>
    <numFmt numFmtId="165" formatCode="&quot;$&quot;#,##0.00"/>
    <numFmt numFmtId="166" formatCode="&quot;$&quot;#,##0.00_);[Red]\(&quot;$&quot;#,##0.00\)"/>
    <numFmt numFmtId="167" formatCode="&quot;$&quot;#,##0_);[Red]\(&quot;$&quot;#,##0\)"/>
    <numFmt numFmtId="168" formatCode="#,##0.0_);[Red]\(#,##0.0\)"/>
    <numFmt numFmtId="169" formatCode="_-&quot;£&quot;* #,##0_-;\-&quot;£&quot;* #,##0_-;_-&quot;£&quot;* &quot;-&quot;_-;_-@_-"/>
    <numFmt numFmtId="170" formatCode="_-&quot;£&quot;* #,##0.00_-;\-&quot;£&quot;* #,##0.00_-;_-&quot;£&quot;* &quot;-&quot;??_-;_-@_-"/>
    <numFmt numFmtId="171" formatCode="&quot;$&quot;#,##0"/>
    <numFmt numFmtId="172" formatCode="&quot;$&quot;#,##0_);\(&quot;$&quot;#,##0\)"/>
    <numFmt numFmtId="173" formatCode="#,##0_ ;[Red]\-#,##0\ "/>
  </numFmts>
  <fonts count="36" x14ac:knownFonts="1">
    <font>
      <sz val="12"/>
      <name val="Arial"/>
    </font>
    <font>
      <sz val="10"/>
      <name val="Arial"/>
      <family val="2"/>
    </font>
    <font>
      <b/>
      <sz val="12"/>
      <name val="Arial"/>
      <family val="2"/>
    </font>
    <font>
      <sz val="14"/>
      <name val="Arial"/>
      <family val="2"/>
    </font>
    <font>
      <sz val="12"/>
      <name val="Arial"/>
      <family val="2"/>
    </font>
    <font>
      <b/>
      <u/>
      <sz val="12"/>
      <name val="Arial"/>
      <family val="2"/>
    </font>
    <font>
      <b/>
      <sz val="12"/>
      <color indexed="12"/>
      <name val="Arial"/>
      <family val="2"/>
    </font>
    <font>
      <sz val="10"/>
      <color indexed="12"/>
      <name val="Arial"/>
      <family val="2"/>
    </font>
    <font>
      <sz val="8"/>
      <name val="Arial"/>
      <family val="2"/>
    </font>
    <font>
      <b/>
      <sz val="10"/>
      <name val="Arial"/>
      <family val="2"/>
    </font>
    <font>
      <b/>
      <sz val="12"/>
      <color indexed="48"/>
      <name val="Arial"/>
      <family val="2"/>
    </font>
    <font>
      <u/>
      <sz val="12"/>
      <name val="Arial"/>
      <family val="2"/>
    </font>
    <font>
      <b/>
      <sz val="14"/>
      <name val="Arial"/>
      <family val="2"/>
    </font>
    <font>
      <sz val="11"/>
      <name val="Arial"/>
      <family val="2"/>
    </font>
    <font>
      <b/>
      <sz val="11"/>
      <name val="Arial"/>
      <family val="2"/>
    </font>
    <font>
      <b/>
      <sz val="11"/>
      <color indexed="12"/>
      <name val="Arial"/>
      <family val="2"/>
    </font>
    <font>
      <b/>
      <sz val="11"/>
      <color indexed="48"/>
      <name val="Arial"/>
      <family val="2"/>
    </font>
    <font>
      <sz val="11"/>
      <color theme="1"/>
      <name val="Calibri"/>
      <family val="2"/>
      <scheme val="minor"/>
    </font>
    <font>
      <u/>
      <sz val="10"/>
      <color theme="10"/>
      <name val="Arial"/>
      <family val="2"/>
    </font>
    <font>
      <u/>
      <sz val="11"/>
      <color theme="10"/>
      <name val="Calibri"/>
      <family val="2"/>
    </font>
    <font>
      <b/>
      <sz val="12"/>
      <color rgb="FF0000FF"/>
      <name val="Arial"/>
      <family val="2"/>
    </font>
    <font>
      <sz val="11"/>
      <color theme="1"/>
      <name val="Arial"/>
      <family val="2"/>
    </font>
    <font>
      <sz val="22"/>
      <color theme="1"/>
      <name val="Arial"/>
      <family val="2"/>
    </font>
    <font>
      <sz val="8"/>
      <color theme="1"/>
      <name val="Arial"/>
      <family val="2"/>
    </font>
    <font>
      <b/>
      <sz val="12"/>
      <color theme="1"/>
      <name val="Arial"/>
      <family val="2"/>
    </font>
    <font>
      <b/>
      <sz val="10"/>
      <color theme="1"/>
      <name val="Arial"/>
      <family val="2"/>
    </font>
    <font>
      <b/>
      <sz val="16"/>
      <color theme="1"/>
      <name val="Arial"/>
      <family val="2"/>
    </font>
    <font>
      <b/>
      <sz val="14"/>
      <color theme="0"/>
      <name val="Arial"/>
      <family val="2"/>
    </font>
    <font>
      <b/>
      <u/>
      <sz val="12"/>
      <color rgb="FF0000FF"/>
      <name val="Arial"/>
      <family val="2"/>
    </font>
    <font>
      <sz val="10"/>
      <color theme="1"/>
      <name val="Arial"/>
      <family val="2"/>
    </font>
    <font>
      <sz val="12"/>
      <color theme="1"/>
      <name val="Arial"/>
      <family val="2"/>
    </font>
    <font>
      <b/>
      <u/>
      <sz val="11"/>
      <color rgb="FF0000FF"/>
      <name val="Arial"/>
      <family val="2"/>
    </font>
    <font>
      <b/>
      <sz val="10"/>
      <color rgb="FF0000FF"/>
      <name val="Arial"/>
      <family val="2"/>
    </font>
    <font>
      <sz val="10"/>
      <color rgb="FF0000FF"/>
      <name val="Arial"/>
      <family val="2"/>
    </font>
    <font>
      <b/>
      <u/>
      <sz val="11"/>
      <color theme="10"/>
      <name val="Arial"/>
      <family val="2"/>
    </font>
    <font>
      <b/>
      <u/>
      <sz val="12"/>
      <color theme="10"/>
      <name val="Arial"/>
      <family val="2"/>
    </font>
  </fonts>
  <fills count="11">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58"/>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1"/>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FF"/>
      </left>
      <right style="medium">
        <color rgb="FF0000FF"/>
      </right>
      <top style="medium">
        <color rgb="FF0000FF"/>
      </top>
      <bottom style="medium">
        <color rgb="FF0000FF"/>
      </bottom>
      <diagonal/>
    </border>
  </borders>
  <cellStyleXfs count="29">
    <xf numFmtId="0" fontId="0" fillId="0" borderId="0">
      <alignment vertical="top"/>
    </xf>
    <xf numFmtId="167" fontId="4" fillId="0" borderId="0"/>
    <xf numFmtId="167" fontId="6" fillId="0" borderId="0">
      <protection locked="0"/>
    </xf>
    <xf numFmtId="166" fontId="4" fillId="0" borderId="0"/>
    <xf numFmtId="166" fontId="6" fillId="0" borderId="0">
      <protection locked="0"/>
    </xf>
    <xf numFmtId="38" fontId="4" fillId="0" borderId="0"/>
    <xf numFmtId="38" fontId="6" fillId="0" borderId="0">
      <protection locked="0"/>
    </xf>
    <xf numFmtId="168" fontId="4" fillId="0" borderId="0"/>
    <xf numFmtId="168" fontId="6" fillId="0" borderId="0">
      <protection locked="0"/>
    </xf>
    <xf numFmtId="40" fontId="4" fillId="0" borderId="0"/>
    <xf numFmtId="40" fontId="6" fillId="0" borderId="0">
      <protection locked="0"/>
    </xf>
    <xf numFmtId="44" fontId="17" fillId="0" borderId="0" applyFon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1" fillId="0" borderId="0"/>
    <xf numFmtId="0" fontId="1" fillId="0" borderId="0">
      <alignment vertical="top"/>
    </xf>
    <xf numFmtId="0" fontId="1" fillId="0" borderId="0">
      <alignment vertical="top"/>
    </xf>
    <xf numFmtId="165" fontId="4" fillId="0" borderId="0">
      <alignment vertical="top"/>
    </xf>
    <xf numFmtId="38" fontId="1" fillId="2" borderId="1"/>
    <xf numFmtId="38" fontId="7" fillId="0" borderId="1">
      <protection locked="0"/>
    </xf>
    <xf numFmtId="168" fontId="1" fillId="3" borderId="1"/>
    <xf numFmtId="168" fontId="7" fillId="0" borderId="1">
      <protection locked="0"/>
    </xf>
    <xf numFmtId="40" fontId="1" fillId="3" borderId="1"/>
    <xf numFmtId="40" fontId="7" fillId="0" borderId="1">
      <protection locked="0"/>
    </xf>
    <xf numFmtId="10" fontId="4" fillId="0" borderId="0"/>
    <xf numFmtId="10" fontId="7" fillId="4" borderId="1">
      <protection locked="0"/>
    </xf>
    <xf numFmtId="0" fontId="1" fillId="5" borderId="0"/>
    <xf numFmtId="169" fontId="1" fillId="0" borderId="0" applyFont="0" applyFill="0" applyBorder="0" applyAlignment="0" applyProtection="0"/>
    <xf numFmtId="170" fontId="1" fillId="0" borderId="0" applyFont="0" applyFill="0" applyBorder="0" applyAlignment="0" applyProtection="0"/>
  </cellStyleXfs>
  <cellXfs count="158">
    <xf numFmtId="0" fontId="0" fillId="0" borderId="0" xfId="0">
      <alignment vertical="top"/>
    </xf>
    <xf numFmtId="0" fontId="2" fillId="0" borderId="0" xfId="16" applyFont="1" applyAlignment="1"/>
    <xf numFmtId="0" fontId="3" fillId="0" borderId="0" xfId="16" applyFont="1" applyAlignment="1"/>
    <xf numFmtId="0" fontId="4" fillId="0" borderId="0" xfId="16" applyFont="1" applyAlignment="1"/>
    <xf numFmtId="3" fontId="3" fillId="0" borderId="0" xfId="0" applyNumberFormat="1" applyFont="1" applyAlignment="1"/>
    <xf numFmtId="3" fontId="4" fillId="0" borderId="0" xfId="0" applyNumberFormat="1" applyFont="1" applyAlignment="1"/>
    <xf numFmtId="0" fontId="5" fillId="0" borderId="0" xfId="16" applyFont="1" applyAlignment="1">
      <alignment horizontal="right"/>
    </xf>
    <xf numFmtId="165" fontId="6" fillId="0" borderId="0" xfId="4" applyNumberFormat="1">
      <protection locked="0"/>
    </xf>
    <xf numFmtId="0" fontId="1" fillId="0" borderId="0" xfId="16" applyAlignment="1"/>
    <xf numFmtId="165" fontId="20" fillId="0" borderId="0" xfId="16" applyNumberFormat="1" applyFont="1" applyAlignment="1" applyProtection="1">
      <protection locked="0"/>
    </xf>
    <xf numFmtId="3" fontId="0" fillId="0" borderId="0" xfId="0" applyNumberFormat="1" applyAlignment="1"/>
    <xf numFmtId="38" fontId="6" fillId="0" borderId="0" xfId="6">
      <protection locked="0"/>
    </xf>
    <xf numFmtId="3" fontId="2" fillId="0" borderId="0" xfId="0" applyNumberFormat="1" applyFont="1" applyAlignment="1"/>
    <xf numFmtId="0" fontId="21" fillId="0" borderId="0" xfId="0" applyFont="1" applyAlignment="1"/>
    <xf numFmtId="0" fontId="21" fillId="0" borderId="0" xfId="0" applyFont="1" applyAlignment="1">
      <alignment horizontal="center"/>
    </xf>
    <xf numFmtId="0" fontId="0" fillId="0" borderId="0" xfId="0" applyAlignment="1"/>
    <xf numFmtId="0" fontId="22" fillId="0" borderId="0" xfId="0" applyFont="1" applyAlignment="1"/>
    <xf numFmtId="0" fontId="23" fillId="0" borderId="0" xfId="0" applyFont="1" applyAlignment="1">
      <alignment horizontal="right"/>
    </xf>
    <xf numFmtId="14" fontId="8" fillId="0" borderId="0" xfId="0" applyNumberFormat="1" applyFont="1" applyAlignment="1">
      <alignment horizontal="right"/>
    </xf>
    <xf numFmtId="0" fontId="24" fillId="0" borderId="0" xfId="0" applyFont="1" applyAlignment="1"/>
    <xf numFmtId="0" fontId="25" fillId="0" borderId="2" xfId="0" applyFont="1" applyBorder="1" applyAlignment="1">
      <alignment horizontal="left"/>
    </xf>
    <xf numFmtId="0" fontId="25" fillId="0" borderId="2" xfId="0" applyFont="1" applyBorder="1" applyAlignment="1">
      <alignment horizontal="left" wrapText="1"/>
    </xf>
    <xf numFmtId="0" fontId="0" fillId="0" borderId="2" xfId="0" applyBorder="1" applyAlignment="1"/>
    <xf numFmtId="0" fontId="2" fillId="0" borderId="0" xfId="0" applyFont="1" applyAlignment="1"/>
    <xf numFmtId="0" fontId="26" fillId="0" borderId="0" xfId="0" applyFont="1" applyAlignment="1"/>
    <xf numFmtId="0" fontId="4" fillId="0" borderId="0" xfId="0" applyFont="1" applyAlignment="1"/>
    <xf numFmtId="0" fontId="4" fillId="0" borderId="2" xfId="0" applyFont="1" applyBorder="1" applyAlignment="1"/>
    <xf numFmtId="0" fontId="24" fillId="0" borderId="2" xfId="0" applyFont="1" applyBorder="1" applyAlignment="1">
      <alignment horizontal="right"/>
    </xf>
    <xf numFmtId="0" fontId="24" fillId="0" borderId="3" xfId="0" applyFont="1" applyBorder="1" applyAlignment="1">
      <alignment horizontal="left" vertical="center"/>
    </xf>
    <xf numFmtId="0" fontId="24" fillId="0" borderId="2" xfId="0" applyFont="1" applyBorder="1" applyAlignment="1"/>
    <xf numFmtId="0" fontId="4" fillId="0" borderId="2" xfId="16" applyFont="1" applyBorder="1" applyAlignment="1"/>
    <xf numFmtId="164" fontId="5" fillId="0" borderId="0" xfId="0" applyNumberFormat="1" applyFont="1" applyAlignment="1">
      <alignment horizontal="right"/>
    </xf>
    <xf numFmtId="164" fontId="4" fillId="0" borderId="0" xfId="0" applyNumberFormat="1" applyFont="1" applyAlignment="1"/>
    <xf numFmtId="165" fontId="4" fillId="0" borderId="0" xfId="9" applyNumberFormat="1"/>
    <xf numFmtId="165" fontId="11" fillId="0" borderId="0" xfId="9" applyNumberFormat="1" applyFont="1"/>
    <xf numFmtId="165" fontId="2" fillId="0" borderId="0" xfId="3" applyNumberFormat="1" applyFont="1" applyAlignment="1">
      <alignment horizontal="right"/>
    </xf>
    <xf numFmtId="165" fontId="2" fillId="0" borderId="0" xfId="0" applyNumberFormat="1" applyFont="1" applyAlignment="1"/>
    <xf numFmtId="165" fontId="2" fillId="0" borderId="0" xfId="3" applyNumberFormat="1" applyFont="1"/>
    <xf numFmtId="165" fontId="4" fillId="0" borderId="0" xfId="0" applyNumberFormat="1" applyFont="1" applyAlignment="1"/>
    <xf numFmtId="165" fontId="5" fillId="0" borderId="0" xfId="3" applyNumberFormat="1" applyFont="1"/>
    <xf numFmtId="171" fontId="20" fillId="0" borderId="0" xfId="16" applyNumberFormat="1" applyFont="1" applyAlignment="1" applyProtection="1">
      <protection locked="0"/>
    </xf>
    <xf numFmtId="165" fontId="2" fillId="0" borderId="0" xfId="16" applyNumberFormat="1" applyFont="1" applyAlignment="1">
      <alignment horizontal="right"/>
    </xf>
    <xf numFmtId="10" fontId="2" fillId="0" borderId="0" xfId="16" applyNumberFormat="1" applyFont="1" applyAlignment="1">
      <alignment horizontal="right"/>
    </xf>
    <xf numFmtId="171" fontId="2" fillId="0" borderId="0" xfId="16" applyNumberFormat="1" applyFont="1" applyAlignment="1">
      <alignment horizontal="right"/>
    </xf>
    <xf numFmtId="165" fontId="2" fillId="0" borderId="0" xfId="9" applyNumberFormat="1" applyFont="1"/>
    <xf numFmtId="0" fontId="27" fillId="0" borderId="0" xfId="16" applyFont="1" applyAlignment="1">
      <alignment horizontal="center" vertical="center"/>
    </xf>
    <xf numFmtId="165" fontId="1" fillId="0" borderId="0" xfId="17" applyFont="1">
      <alignment vertical="top"/>
    </xf>
    <xf numFmtId="165" fontId="20" fillId="0" borderId="0" xfId="9" applyNumberFormat="1" applyFont="1" applyProtection="1">
      <protection locked="0"/>
    </xf>
    <xf numFmtId="165" fontId="20" fillId="0" borderId="0" xfId="9" applyNumberFormat="1" applyFont="1" applyAlignment="1" applyProtection="1">
      <alignment horizontal="right"/>
      <protection locked="0"/>
    </xf>
    <xf numFmtId="165" fontId="28" fillId="0" borderId="0" xfId="9" applyNumberFormat="1" applyFont="1" applyProtection="1">
      <protection locked="0"/>
    </xf>
    <xf numFmtId="0" fontId="29" fillId="0" borderId="0" xfId="0" applyFont="1" applyAlignment="1">
      <alignment horizontal="left" vertical="center"/>
    </xf>
    <xf numFmtId="0" fontId="25" fillId="0" borderId="0" xfId="0" applyFont="1" applyAlignment="1"/>
    <xf numFmtId="165" fontId="4" fillId="0" borderId="0" xfId="16" applyNumberFormat="1" applyFont="1" applyAlignment="1">
      <alignment horizontal="right"/>
    </xf>
    <xf numFmtId="0" fontId="30" fillId="0" borderId="0" xfId="0" applyFont="1" applyAlignment="1">
      <alignment vertical="center" wrapText="1"/>
    </xf>
    <xf numFmtId="165" fontId="1" fillId="0" borderId="2" xfId="17" applyFont="1" applyBorder="1">
      <alignment vertical="top"/>
    </xf>
    <xf numFmtId="0" fontId="2" fillId="0" borderId="2" xfId="16" applyFont="1" applyBorder="1" applyAlignment="1">
      <alignment horizontal="right"/>
    </xf>
    <xf numFmtId="0" fontId="4" fillId="0" borderId="2" xfId="16" applyFont="1" applyBorder="1" applyAlignment="1">
      <alignment horizontal="right"/>
    </xf>
    <xf numFmtId="0" fontId="3" fillId="0" borderId="2" xfId="16" applyFont="1" applyBorder="1" applyAlignment="1"/>
    <xf numFmtId="38" fontId="2" fillId="0" borderId="0" xfId="6" applyFont="1" applyProtection="1"/>
    <xf numFmtId="171" fontId="2" fillId="0" borderId="0" xfId="16" applyNumberFormat="1" applyFont="1" applyAlignment="1"/>
    <xf numFmtId="0" fontId="31" fillId="0" borderId="0" xfId="0" applyFont="1">
      <alignment vertical="top"/>
    </xf>
    <xf numFmtId="0" fontId="18" fillId="0" borderId="0" xfId="12" applyProtection="1">
      <alignment vertical="top"/>
    </xf>
    <xf numFmtId="0" fontId="12" fillId="0" borderId="0" xfId="16" applyFont="1" applyAlignment="1"/>
    <xf numFmtId="6" fontId="6" fillId="0" borderId="0" xfId="6" applyNumberFormat="1">
      <protection locked="0"/>
    </xf>
    <xf numFmtId="3" fontId="0" fillId="0" borderId="0" xfId="0" applyNumberFormat="1" applyAlignment="1">
      <alignment horizontal="right"/>
    </xf>
    <xf numFmtId="3" fontId="4" fillId="0" borderId="0" xfId="0" applyNumberFormat="1" applyFont="1" applyAlignment="1">
      <alignment horizontal="right"/>
    </xf>
    <xf numFmtId="172" fontId="4" fillId="0" borderId="0" xfId="16" applyNumberFormat="1" applyFont="1" applyAlignment="1">
      <alignment horizontal="right"/>
    </xf>
    <xf numFmtId="172" fontId="2" fillId="0" borderId="0" xfId="16" applyNumberFormat="1" applyFont="1" applyAlignment="1">
      <alignment horizontal="right"/>
    </xf>
    <xf numFmtId="165" fontId="4" fillId="0" borderId="0" xfId="17" applyAlignment="1"/>
    <xf numFmtId="3" fontId="32" fillId="6" borderId="13" xfId="0" applyNumberFormat="1" applyFont="1" applyFill="1" applyBorder="1" applyAlignment="1" applyProtection="1">
      <alignment horizontal="center"/>
      <protection locked="0"/>
    </xf>
    <xf numFmtId="3" fontId="33" fillId="6" borderId="13" xfId="0" applyNumberFormat="1" applyFont="1" applyFill="1" applyBorder="1" applyAlignment="1" applyProtection="1">
      <alignment horizontal="center"/>
      <protection locked="0"/>
    </xf>
    <xf numFmtId="165" fontId="1" fillId="0" borderId="0" xfId="17" applyFont="1" applyAlignment="1"/>
    <xf numFmtId="165" fontId="13" fillId="0" borderId="0" xfId="17" applyFont="1">
      <alignment vertical="top"/>
    </xf>
    <xf numFmtId="0" fontId="13" fillId="0" borderId="0" xfId="16" applyFont="1" applyAlignment="1"/>
    <xf numFmtId="171" fontId="0" fillId="0" borderId="0" xfId="0" applyNumberFormat="1">
      <alignment vertical="top"/>
    </xf>
    <xf numFmtId="0" fontId="4" fillId="0" borderId="0" xfId="0" applyFont="1">
      <alignment vertical="top"/>
    </xf>
    <xf numFmtId="0" fontId="2" fillId="0" borderId="0" xfId="0" applyFont="1">
      <alignment vertical="top"/>
    </xf>
    <xf numFmtId="0" fontId="6" fillId="0" borderId="0" xfId="10" applyNumberFormat="1">
      <protection locked="0"/>
    </xf>
    <xf numFmtId="165" fontId="0" fillId="0" borderId="0" xfId="0" applyNumberFormat="1">
      <alignment vertical="top"/>
    </xf>
    <xf numFmtId="10" fontId="0" fillId="0" borderId="0" xfId="0" applyNumberFormat="1">
      <alignment vertical="top"/>
    </xf>
    <xf numFmtId="6" fontId="2" fillId="0" borderId="0" xfId="6" applyNumberFormat="1" applyFont="1">
      <protection locked="0"/>
    </xf>
    <xf numFmtId="3" fontId="9" fillId="6" borderId="4" xfId="0" applyNumberFormat="1" applyFont="1" applyFill="1" applyBorder="1" applyAlignment="1" applyProtection="1">
      <alignment horizontal="center"/>
      <protection locked="0"/>
    </xf>
    <xf numFmtId="3" fontId="1" fillId="6" borderId="4" xfId="0" applyNumberFormat="1" applyFont="1" applyFill="1" applyBorder="1" applyAlignment="1" applyProtection="1">
      <alignment horizontal="center"/>
      <protection locked="0"/>
    </xf>
    <xf numFmtId="38" fontId="2" fillId="0" borderId="0" xfId="6" applyFont="1">
      <protection locked="0"/>
    </xf>
    <xf numFmtId="6" fontId="20" fillId="0" borderId="0" xfId="6" applyNumberFormat="1" applyFont="1">
      <protection locked="0"/>
    </xf>
    <xf numFmtId="171" fontId="2" fillId="0" borderId="0" xfId="16" applyNumberFormat="1" applyFont="1" applyAlignment="1" applyProtection="1">
      <protection locked="0"/>
    </xf>
    <xf numFmtId="165" fontId="2" fillId="0" borderId="0" xfId="16" applyNumberFormat="1" applyFont="1" applyAlignment="1" applyProtection="1">
      <protection locked="0"/>
    </xf>
    <xf numFmtId="165" fontId="2" fillId="7" borderId="0" xfId="16" applyNumberFormat="1" applyFont="1" applyFill="1" applyAlignment="1">
      <alignment horizontal="right"/>
    </xf>
    <xf numFmtId="0" fontId="5" fillId="7" borderId="0" xfId="16" applyFont="1" applyFill="1" applyAlignment="1">
      <alignment horizontal="right"/>
    </xf>
    <xf numFmtId="0" fontId="4" fillId="7" borderId="0" xfId="16" applyFont="1" applyFill="1" applyAlignment="1"/>
    <xf numFmtId="171" fontId="2" fillId="8" borderId="0" xfId="16" applyNumberFormat="1" applyFont="1" applyFill="1" applyAlignment="1">
      <alignment horizontal="right"/>
    </xf>
    <xf numFmtId="0" fontId="2" fillId="7" borderId="0" xfId="16" applyFont="1" applyFill="1" applyAlignment="1"/>
    <xf numFmtId="165" fontId="4" fillId="7" borderId="0" xfId="16" applyNumberFormat="1" applyFont="1" applyFill="1" applyAlignment="1">
      <alignment horizontal="right"/>
    </xf>
    <xf numFmtId="0" fontId="3" fillId="7" borderId="0" xfId="16" applyFont="1" applyFill="1" applyAlignment="1"/>
    <xf numFmtId="165" fontId="1" fillId="7" borderId="0" xfId="17" applyFont="1" applyFill="1" applyAlignment="1"/>
    <xf numFmtId="0" fontId="1" fillId="7" borderId="0" xfId="16" applyFill="1" applyAlignment="1"/>
    <xf numFmtId="0" fontId="2" fillId="0" borderId="5" xfId="0" applyFont="1" applyBorder="1">
      <alignment vertical="top"/>
    </xf>
    <xf numFmtId="0" fontId="2" fillId="0" borderId="6" xfId="0" applyFont="1" applyBorder="1">
      <alignment vertical="top"/>
    </xf>
    <xf numFmtId="171" fontId="2" fillId="0" borderId="4" xfId="0" applyNumberFormat="1" applyFont="1" applyBorder="1">
      <alignment vertical="top"/>
    </xf>
    <xf numFmtId="171" fontId="0" fillId="9" borderId="0" xfId="0" applyNumberFormat="1" applyFill="1">
      <alignment vertical="top"/>
    </xf>
    <xf numFmtId="165" fontId="0" fillId="9" borderId="0" xfId="0" applyNumberFormat="1" applyFill="1">
      <alignment vertical="top"/>
    </xf>
    <xf numFmtId="165" fontId="4" fillId="0" borderId="0" xfId="17" applyAlignment="1">
      <alignment vertical="center"/>
    </xf>
    <xf numFmtId="165" fontId="4" fillId="0" borderId="0" xfId="17">
      <alignment vertical="top"/>
    </xf>
    <xf numFmtId="165" fontId="2" fillId="0" borderId="0" xfId="17" applyFont="1" applyAlignment="1">
      <alignment horizontal="center" vertical="center"/>
    </xf>
    <xf numFmtId="165" fontId="2" fillId="0" borderId="0" xfId="17" applyFont="1" applyAlignment="1">
      <alignment vertical="center"/>
    </xf>
    <xf numFmtId="165" fontId="2" fillId="0" borderId="0" xfId="17" applyFont="1">
      <alignment vertical="top"/>
    </xf>
    <xf numFmtId="165" fontId="35" fillId="0" borderId="0" xfId="13" applyNumberFormat="1" applyFont="1" applyAlignment="1" applyProtection="1">
      <alignment horizontal="left" vertical="center"/>
    </xf>
    <xf numFmtId="165" fontId="4" fillId="0" borderId="0" xfId="17" applyAlignment="1">
      <alignment horizontal="left" vertical="center" wrapText="1"/>
    </xf>
    <xf numFmtId="0" fontId="1" fillId="0" borderId="0" xfId="16" applyAlignment="1">
      <alignment vertical="center"/>
    </xf>
    <xf numFmtId="0" fontId="14" fillId="0" borderId="0" xfId="0" applyFont="1" applyAlignment="1"/>
    <xf numFmtId="3" fontId="2" fillId="0" borderId="0" xfId="0" applyNumberFormat="1" applyFont="1" applyAlignment="1">
      <alignment horizontal="right"/>
    </xf>
    <xf numFmtId="165" fontId="35" fillId="0" borderId="0" xfId="12" applyNumberFormat="1" applyFont="1" applyAlignment="1" applyProtection="1">
      <alignment horizontal="left" vertical="center"/>
    </xf>
    <xf numFmtId="0" fontId="4" fillId="0" borderId="0" xfId="16" applyFont="1" applyAlignment="1">
      <alignment horizontal="left" vertical="center" wrapText="1"/>
    </xf>
    <xf numFmtId="0" fontId="4" fillId="0" borderId="0" xfId="16" applyFont="1" applyAlignment="1">
      <alignment vertical="center"/>
    </xf>
    <xf numFmtId="165" fontId="4" fillId="0" borderId="0" xfId="16" applyNumberFormat="1" applyFont="1" applyAlignment="1"/>
    <xf numFmtId="173" fontId="6" fillId="0" borderId="0" xfId="10" applyNumberFormat="1">
      <protection locked="0"/>
    </xf>
    <xf numFmtId="0" fontId="5" fillId="0" borderId="0" xfId="0" applyFont="1" applyAlignment="1">
      <alignment horizontal="center" vertical="top"/>
    </xf>
    <xf numFmtId="171" fontId="2" fillId="0" borderId="0" xfId="0" applyNumberFormat="1" applyFont="1">
      <alignment vertical="top"/>
    </xf>
    <xf numFmtId="0" fontId="2" fillId="0" borderId="7" xfId="0" applyFont="1" applyBorder="1" applyAlignment="1"/>
    <xf numFmtId="172" fontId="4" fillId="0" borderId="3" xfId="0" applyNumberFormat="1" applyFont="1" applyBorder="1" applyAlignment="1"/>
    <xf numFmtId="172" fontId="4" fillId="0" borderId="8" xfId="0" applyNumberFormat="1" applyFont="1" applyBorder="1" applyAlignment="1"/>
    <xf numFmtId="172" fontId="4" fillId="0" borderId="9" xfId="0" applyNumberFormat="1" applyFont="1" applyBorder="1" applyAlignment="1"/>
    <xf numFmtId="172" fontId="4" fillId="0" borderId="0" xfId="0" applyNumberFormat="1" applyFont="1" applyAlignment="1"/>
    <xf numFmtId="4" fontId="20" fillId="0" borderId="0" xfId="9" applyNumberFormat="1" applyFont="1" applyProtection="1">
      <protection locked="0"/>
    </xf>
    <xf numFmtId="172" fontId="4" fillId="0" borderId="10" xfId="0" applyNumberFormat="1" applyFont="1" applyBorder="1" applyAlignment="1"/>
    <xf numFmtId="0" fontId="11" fillId="0" borderId="0" xfId="0" applyFont="1" applyAlignment="1"/>
    <xf numFmtId="3" fontId="11" fillId="0" borderId="0" xfId="5" applyNumberFormat="1" applyFont="1"/>
    <xf numFmtId="0" fontId="11" fillId="0" borderId="10" xfId="0" applyFont="1" applyBorder="1" applyAlignment="1"/>
    <xf numFmtId="172" fontId="2" fillId="0" borderId="10" xfId="0" applyNumberFormat="1" applyFont="1" applyBorder="1" applyAlignment="1"/>
    <xf numFmtId="3" fontId="4" fillId="0" borderId="0" xfId="5" applyNumberFormat="1"/>
    <xf numFmtId="172" fontId="4" fillId="0" borderId="11" xfId="0" applyNumberFormat="1" applyFont="1" applyBorder="1" applyAlignment="1"/>
    <xf numFmtId="165" fontId="2" fillId="0" borderId="2" xfId="3" applyNumberFormat="1" applyFont="1" applyBorder="1"/>
    <xf numFmtId="172" fontId="2" fillId="0" borderId="12" xfId="0" applyNumberFormat="1" applyFont="1" applyBorder="1" applyAlignment="1"/>
    <xf numFmtId="165" fontId="34" fillId="0" borderId="0" xfId="12" applyNumberFormat="1" applyFont="1" applyAlignment="1" applyProtection="1">
      <alignment horizontal="left" vertical="center"/>
    </xf>
    <xf numFmtId="44" fontId="4" fillId="0" borderId="0" xfId="11" applyFont="1" applyAlignment="1" applyProtection="1">
      <alignment horizontal="right"/>
      <protection locked="0"/>
    </xf>
    <xf numFmtId="44" fontId="0" fillId="0" borderId="0" xfId="11" applyFont="1" applyAlignment="1">
      <alignment vertical="top"/>
    </xf>
    <xf numFmtId="0" fontId="2" fillId="7" borderId="0" xfId="0" applyFont="1" applyFill="1">
      <alignment vertical="top"/>
    </xf>
    <xf numFmtId="0" fontId="25" fillId="0" borderId="0" xfId="0" applyFont="1" applyAlignment="1">
      <alignment horizontal="left"/>
    </xf>
    <xf numFmtId="0" fontId="25" fillId="0" borderId="0" xfId="0" applyFont="1" applyAlignment="1">
      <alignment horizontal="left" wrapText="1"/>
    </xf>
    <xf numFmtId="0" fontId="2" fillId="0" borderId="0" xfId="16" applyFont="1" applyAlignment="1">
      <alignment horizontal="right"/>
    </xf>
    <xf numFmtId="0" fontId="27" fillId="10" borderId="0" xfId="16" applyFont="1" applyFill="1" applyAlignment="1">
      <alignment horizontal="center" vertical="center"/>
    </xf>
    <xf numFmtId="0" fontId="27" fillId="10" borderId="0" xfId="16" applyFont="1" applyFill="1" applyAlignment="1">
      <alignment horizontal="left" vertical="center"/>
    </xf>
    <xf numFmtId="0" fontId="2" fillId="0" borderId="2" xfId="16" applyFont="1" applyBorder="1" applyAlignment="1">
      <alignment horizontal="center"/>
    </xf>
    <xf numFmtId="165" fontId="27" fillId="10" borderId="0" xfId="17" applyFont="1" applyFill="1" applyAlignment="1">
      <alignment horizontal="center" vertical="center"/>
    </xf>
    <xf numFmtId="165" fontId="4" fillId="0" borderId="0" xfId="17" applyAlignment="1">
      <alignment horizontal="left" vertical="center" wrapText="1"/>
    </xf>
    <xf numFmtId="165" fontId="35" fillId="0" borderId="0" xfId="12" applyNumberFormat="1" applyFont="1" applyAlignment="1" applyProtection="1">
      <alignment horizontal="left" vertical="center"/>
    </xf>
    <xf numFmtId="0" fontId="35" fillId="0" borderId="0" xfId="12" applyFont="1" applyAlignment="1" applyProtection="1">
      <alignment horizontal="left" vertical="center"/>
    </xf>
    <xf numFmtId="165" fontId="4" fillId="0" borderId="0" xfId="17" applyAlignment="1">
      <alignment horizontal="left" vertical="top" wrapText="1"/>
    </xf>
    <xf numFmtId="0" fontId="4" fillId="0" borderId="0" xfId="16" applyFont="1" applyAlignment="1">
      <alignment horizontal="left" vertical="center" wrapText="1"/>
    </xf>
    <xf numFmtId="0" fontId="4" fillId="0" borderId="0" xfId="16" applyFont="1" applyAlignment="1">
      <alignment horizontal="left" vertical="top" wrapText="1"/>
    </xf>
    <xf numFmtId="0" fontId="4" fillId="0" borderId="0" xfId="16" applyFont="1" applyAlignment="1">
      <alignment horizontal="left" wrapText="1"/>
    </xf>
    <xf numFmtId="164" fontId="27" fillId="10" borderId="0" xfId="0" applyNumberFormat="1" applyFont="1" applyFill="1" applyAlignment="1">
      <alignment horizontal="center"/>
    </xf>
    <xf numFmtId="3" fontId="27" fillId="10" borderId="0" xfId="0" applyNumberFormat="1" applyFont="1" applyFill="1" applyAlignment="1">
      <alignment horizontal="center"/>
    </xf>
    <xf numFmtId="0" fontId="3" fillId="7" borderId="0" xfId="16" applyFont="1" applyFill="1" applyAlignment="1">
      <alignment horizontal="center" vertical="top" wrapText="1"/>
    </xf>
    <xf numFmtId="0" fontId="30" fillId="0" borderId="0" xfId="0" applyFont="1" applyAlignment="1">
      <alignment horizontal="left" vertical="center" wrapText="1"/>
    </xf>
    <xf numFmtId="165" fontId="34" fillId="0" borderId="0" xfId="12" applyNumberFormat="1" applyFont="1" applyAlignment="1" applyProtection="1">
      <alignment horizontal="left" vertical="top"/>
    </xf>
    <xf numFmtId="172" fontId="34" fillId="0" borderId="0" xfId="12" applyNumberFormat="1" applyFont="1" applyAlignment="1" applyProtection="1">
      <alignment horizontal="left"/>
    </xf>
    <xf numFmtId="0" fontId="34" fillId="0" borderId="0" xfId="12" applyFont="1" applyAlignment="1" applyProtection="1">
      <alignment horizontal="left" vertical="top"/>
    </xf>
  </cellXfs>
  <cellStyles count="29">
    <cellStyle name="Curr ($1,234) L Black" xfId="1" xr:uid="{00000000-0005-0000-0000-000000000000}"/>
    <cellStyle name="Curr ($1,234) U Blue" xfId="2" xr:uid="{00000000-0005-0000-0000-000001000000}"/>
    <cellStyle name="Curr ($1,234.00) L Black" xfId="3" xr:uid="{00000000-0005-0000-0000-000002000000}"/>
    <cellStyle name="Curr ($1,234.00) U Blue" xfId="4" xr:uid="{00000000-0005-0000-0000-000003000000}"/>
    <cellStyle name="Curr (1,234) L Black" xfId="5" xr:uid="{00000000-0005-0000-0000-000004000000}"/>
    <cellStyle name="Curr (1,234) U Blue" xfId="6" xr:uid="{00000000-0005-0000-0000-000005000000}"/>
    <cellStyle name="Curr (1,234.0) L Black" xfId="7" xr:uid="{00000000-0005-0000-0000-000006000000}"/>
    <cellStyle name="Curr (1,234.0) U Blue" xfId="8" xr:uid="{00000000-0005-0000-0000-000007000000}"/>
    <cellStyle name="Curr (1,234.00) L Black" xfId="9" xr:uid="{00000000-0005-0000-0000-000008000000}"/>
    <cellStyle name="Curr (1,234.00) U Blue" xfId="10" xr:uid="{00000000-0005-0000-0000-000009000000}"/>
    <cellStyle name="Currency" xfId="11" builtinId="4"/>
    <cellStyle name="Hyperlink" xfId="12" builtinId="8"/>
    <cellStyle name="Hyperlink 2" xfId="13" xr:uid="{00000000-0005-0000-0000-00000C000000}"/>
    <cellStyle name="Normal" xfId="0" builtinId="0"/>
    <cellStyle name="Normal 2" xfId="14" xr:uid="{00000000-0005-0000-0000-00000E000000}"/>
    <cellStyle name="Normal 2 2" xfId="15" xr:uid="{00000000-0005-0000-0000-00000F000000}"/>
    <cellStyle name="Normal 3" xfId="16" xr:uid="{00000000-0005-0000-0000-000010000000}"/>
    <cellStyle name="Normal_Farrow-Wean 500" xfId="17" xr:uid="{00000000-0005-0000-0000-000011000000}"/>
    <cellStyle name="Num (1,234) L Black" xfId="18" xr:uid="{00000000-0005-0000-0000-000012000000}"/>
    <cellStyle name="Num (1,234) U Blue" xfId="19" xr:uid="{00000000-0005-0000-0000-000013000000}"/>
    <cellStyle name="Num (1,234.0) L Black" xfId="20" xr:uid="{00000000-0005-0000-0000-000014000000}"/>
    <cellStyle name="Num (1,234.0) U Blue" xfId="21" xr:uid="{00000000-0005-0000-0000-000015000000}"/>
    <cellStyle name="Num (1,234.10) L Black" xfId="22" xr:uid="{00000000-0005-0000-0000-000016000000}"/>
    <cellStyle name="Num (1,234.10) U Blue" xfId="23" xr:uid="{00000000-0005-0000-0000-000017000000}"/>
    <cellStyle name="Percent 00.00% L Black" xfId="24" xr:uid="{00000000-0005-0000-0000-000018000000}"/>
    <cellStyle name="Percent 00.00% U Blue" xfId="25" xr:uid="{00000000-0005-0000-0000-000019000000}"/>
    <cellStyle name="Standard_Anpassen der Amortisation" xfId="26" xr:uid="{00000000-0005-0000-0000-00001A000000}"/>
    <cellStyle name="Währung [0]_Compiling Utility Macros" xfId="27" xr:uid="{00000000-0005-0000-0000-00001B000000}"/>
    <cellStyle name="Währung_Compiling Utility Macros" xfId="28"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(HIDE)'!$B$1</c:f>
          <c:strCache>
            <c:ptCount val="1"/>
            <c:pt idx="0">
              <c:v>Costs Not Covered By LPIP Insured Value</c:v>
            </c:pt>
          </c:strCache>
        </c:strRef>
      </c:tx>
      <c:overlay val="0"/>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barChart>
        <c:barDir val="col"/>
        <c:grouping val="stacked"/>
        <c:varyColors val="0"/>
        <c:ser>
          <c:idx val="0"/>
          <c:order val="0"/>
          <c:tx>
            <c:strRef>
              <c:f>'Graph Data (HIDE)'!$B$3</c:f>
              <c:strCache>
                <c:ptCount val="1"/>
                <c:pt idx="0">
                  <c:v>Operating Costs</c:v>
                </c:pt>
              </c:strCache>
            </c:strRef>
          </c:tx>
          <c:invertIfNegative val="0"/>
          <c:dLbls>
            <c:dLbl>
              <c:idx val="14"/>
              <c:delete val="1"/>
              <c:extLst>
                <c:ext xmlns:c15="http://schemas.microsoft.com/office/drawing/2012/chart" uri="{CE6537A1-D6FC-4f65-9D91-7224C49458BB}"/>
                <c:ext xmlns:c16="http://schemas.microsoft.com/office/drawing/2014/chart" uri="{C3380CC4-5D6E-409C-BE32-E72D297353CC}">
                  <c16:uniqueId val="{00000000-FD96-4B5F-A3BC-CC653638277E}"/>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Data (HIDE)'!$C$2:$V$2</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(HIDE)'!$C$3:$V$3</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FD96-4B5F-A3BC-CC653638277E}"/>
            </c:ext>
          </c:extLst>
        </c:ser>
        <c:ser>
          <c:idx val="1"/>
          <c:order val="1"/>
          <c:tx>
            <c:strRef>
              <c:f>'Graph Data (HIDE)'!$B$4</c:f>
              <c:strCache>
                <c:ptCount val="1"/>
                <c:pt idx="0">
                  <c:v>Fixed Costs</c:v>
                </c:pt>
              </c:strCache>
            </c:strRef>
          </c:tx>
          <c:invertIfNegative val="0"/>
          <c:cat>
            <c:numRef>
              <c:f>'Graph Data (HIDE)'!$C$2:$V$2</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(HIDE)'!$C$4:$V$4</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2-FD96-4B5F-A3BC-CC653638277E}"/>
            </c:ext>
          </c:extLst>
        </c:ser>
        <c:ser>
          <c:idx val="2"/>
          <c:order val="2"/>
          <c:tx>
            <c:strRef>
              <c:f>'Graph Data (HIDE)'!$B$5</c:f>
              <c:strCache>
                <c:ptCount val="1"/>
                <c:pt idx="0">
                  <c:v>Labour</c:v>
                </c:pt>
              </c:strCache>
            </c:strRef>
          </c:tx>
          <c:invertIfNegative val="0"/>
          <c:cat>
            <c:numRef>
              <c:f>'Graph Data (HIDE)'!$C$2:$V$2</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(HIDE)'!$C$5:$V$5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3-FD96-4B5F-A3BC-CC653638277E}"/>
            </c:ext>
          </c:extLst>
        </c:ser>
        <c:dLbls>
          <c:showLegendKey val="0"/>
          <c:showVal val="0"/>
          <c:showCatName val="0"/>
          <c:showSerName val="0"/>
          <c:showPercent val="0"/>
          <c:showBubbleSize val="0"/>
        </c:dLbls>
        <c:gapWidth val="75"/>
        <c:overlap val="100"/>
        <c:axId val="215194096"/>
        <c:axId val="1"/>
      </c:barChart>
      <c:catAx>
        <c:axId val="215194096"/>
        <c:scaling>
          <c:orientation val="minMax"/>
        </c:scaling>
        <c:delete val="0"/>
        <c:axPos val="b"/>
        <c:title>
          <c:tx>
            <c:rich>
              <a:bodyPr/>
              <a:lstStyle/>
              <a:p>
                <a:pPr>
                  <a:defRPr sz="1100" b="1" i="0" u="none" strike="noStrike" baseline="0">
                    <a:solidFill>
                      <a:srgbClr val="000000"/>
                    </a:solidFill>
                    <a:latin typeface="Calibri"/>
                    <a:ea typeface="Calibri"/>
                    <a:cs typeface="Calibri"/>
                  </a:defRPr>
                </a:pPr>
                <a:r>
                  <a:rPr lang="en-CA"/>
                  <a:t>Insured Index ($/cwt)</a:t>
                </a:r>
              </a:p>
            </c:rich>
          </c:tx>
          <c:overlay val="0"/>
        </c:title>
        <c:numFmt formatCode="&quot;$&quot;#,##0" sourceLinked="1"/>
        <c:majorTickMark val="none"/>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CA"/>
                  <a:t>$ per Head</a:t>
                </a:r>
              </a:p>
            </c:rich>
          </c:tx>
          <c:overlay val="0"/>
        </c:title>
        <c:numFmt formatCode="&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215194096"/>
        <c:crosses val="autoZero"/>
        <c:crossBetween val="between"/>
      </c:valAx>
      <c:spPr>
        <a:solidFill>
          <a:schemeClr val="bg1">
            <a:lumMod val="85000"/>
          </a:schemeClr>
        </a:solidFill>
      </c:spPr>
    </c:plotArea>
    <c:legend>
      <c:legendPos val="b"/>
      <c:layout>
        <c:manualLayout>
          <c:xMode val="edge"/>
          <c:yMode val="edge"/>
          <c:x val="0.21775326813431065"/>
          <c:y val="0.90296107018786187"/>
          <c:w val="0.55201146953793401"/>
          <c:h val="5.0986872815708059E-2"/>
        </c:manualLayout>
      </c:layout>
      <c:overlay val="0"/>
      <c:txPr>
        <a:bodyPr/>
        <a:lstStyle/>
        <a:p>
          <a:pPr>
            <a:defRPr sz="92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'Graph Data (HIDE)'!$B$81</c:f>
          <c:strCache>
            <c:ptCount val="1"/>
            <c:pt idx="0">
              <c:v>LPIP - Insured Value Analysis</c:v>
            </c:pt>
          </c:strCache>
        </c:strRef>
      </c:tx>
      <c:overlay val="0"/>
      <c:txPr>
        <a:bodyPr/>
        <a:lstStyle/>
        <a:p>
          <a:pPr>
            <a:defRPr sz="20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3335685159973898"/>
          <c:y val="0.1161162843605221"/>
          <c:w val="0.77106819604658261"/>
          <c:h val="0.71891168268939054"/>
        </c:manualLayout>
      </c:layout>
      <c:barChart>
        <c:barDir val="col"/>
        <c:grouping val="clustered"/>
        <c:varyColors val="0"/>
        <c:ser>
          <c:idx val="0"/>
          <c:order val="0"/>
          <c:tx>
            <c:strRef>
              <c:f>'Graph Data (HIDE)'!$B$84</c:f>
              <c:strCache>
                <c:ptCount val="1"/>
                <c:pt idx="0">
                  <c:v>Cost per $1 of Increased Coverage</c:v>
                </c:pt>
              </c:strCache>
            </c:strRef>
          </c:tx>
          <c:invertIfNegative val="0"/>
          <c:cat>
            <c:numRef>
              <c:f>'Graph Data (HIDE)'!$C$82:$V$82</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(HIDE)'!$C$84:$V$84</c:f>
              <c:numCache>
                <c:formatCode>"$"#,##0.00</c:formatCode>
                <c:ptCount val="20"/>
                <c:pt idx="0">
                  <c:v>0.15000000000000083</c:v>
                </c:pt>
                <c:pt idx="1">
                  <c:v>0.10499999999999933</c:v>
                </c:pt>
                <c:pt idx="2">
                  <c:v>0.18500000000000033</c:v>
                </c:pt>
                <c:pt idx="3">
                  <c:v>0.12999999999999975</c:v>
                </c:pt>
                <c:pt idx="4">
                  <c:v>0.10500000000000058</c:v>
                </c:pt>
                <c:pt idx="5">
                  <c:v>0.13000000000000322</c:v>
                </c:pt>
                <c:pt idx="6">
                  <c:v>0.10499999999999975</c:v>
                </c:pt>
                <c:pt idx="7">
                  <c:v>0.13000000000000059</c:v>
                </c:pt>
                <c:pt idx="8">
                  <c:v>0.11999999999999941</c:v>
                </c:pt>
                <c:pt idx="9">
                  <c:v>9.9999999999997327E-2</c:v>
                </c:pt>
                <c:pt idx="10">
                  <c:v>0.1400000000000001</c:v>
                </c:pt>
                <c:pt idx="11">
                  <c:v>0.10500000000000016</c:v>
                </c:pt>
                <c:pt idx="12">
                  <c:v>3.499999999999992E-2</c:v>
                </c:pt>
                <c:pt idx="13">
                  <c:v>0.11500000000000009</c:v>
                </c:pt>
                <c:pt idx="14">
                  <c:v>0</c:v>
                </c:pt>
                <c:pt idx="15">
                  <c:v>0</c:v>
                </c:pt>
                <c:pt idx="16">
                  <c:v>0</c:v>
                </c:pt>
                <c:pt idx="17">
                  <c:v>0</c:v>
                </c:pt>
                <c:pt idx="18">
                  <c:v>0</c:v>
                </c:pt>
                <c:pt idx="19">
                  <c:v>0</c:v>
                </c:pt>
              </c:numCache>
            </c:numRef>
          </c:val>
          <c:extLst>
            <c:ext xmlns:c16="http://schemas.microsoft.com/office/drawing/2014/chart" uri="{C3380CC4-5D6E-409C-BE32-E72D297353CC}">
              <c16:uniqueId val="{00000000-BF23-472B-B6EA-E5903B3AD43D}"/>
            </c:ext>
          </c:extLst>
        </c:ser>
        <c:dLbls>
          <c:showLegendKey val="0"/>
          <c:showVal val="0"/>
          <c:showCatName val="0"/>
          <c:showSerName val="0"/>
          <c:showPercent val="0"/>
          <c:showBubbleSize val="0"/>
        </c:dLbls>
        <c:gapWidth val="75"/>
        <c:axId val="215193768"/>
        <c:axId val="1"/>
      </c:barChart>
      <c:lineChart>
        <c:grouping val="standard"/>
        <c:varyColors val="0"/>
        <c:ser>
          <c:idx val="1"/>
          <c:order val="1"/>
          <c:tx>
            <c:strRef>
              <c:f>'Graph Data (HIDE)'!$B$83</c:f>
              <c:strCache>
                <c:ptCount val="1"/>
                <c:pt idx="0">
                  <c:v>Premium Cost (% of Insured Value)</c:v>
                </c:pt>
              </c:strCache>
            </c:strRef>
          </c:tx>
          <c:dLbls>
            <c:dLbl>
              <c:idx val="4"/>
              <c:delete val="1"/>
              <c:extLst>
                <c:ext xmlns:c15="http://schemas.microsoft.com/office/drawing/2012/chart" uri="{CE6537A1-D6FC-4f65-9D91-7224C49458BB}"/>
                <c:ext xmlns:c16="http://schemas.microsoft.com/office/drawing/2014/chart" uri="{C3380CC4-5D6E-409C-BE32-E72D297353CC}">
                  <c16:uniqueId val="{00000001-BF23-472B-B6EA-E5903B3AD43D}"/>
                </c:ext>
              </c:extLst>
            </c:dLbl>
            <c:dLbl>
              <c:idx val="6"/>
              <c:delete val="1"/>
              <c:extLst>
                <c:ext xmlns:c15="http://schemas.microsoft.com/office/drawing/2012/chart" uri="{CE6537A1-D6FC-4f65-9D91-7224C49458BB}"/>
                <c:ext xmlns:c16="http://schemas.microsoft.com/office/drawing/2014/chart" uri="{C3380CC4-5D6E-409C-BE32-E72D297353CC}">
                  <c16:uniqueId val="{00000002-BF23-472B-B6EA-E5903B3AD43D}"/>
                </c:ext>
              </c:extLst>
            </c:dLbl>
            <c:dLbl>
              <c:idx val="8"/>
              <c:delete val="1"/>
              <c:extLst>
                <c:ext xmlns:c15="http://schemas.microsoft.com/office/drawing/2012/chart" uri="{CE6537A1-D6FC-4f65-9D91-7224C49458BB}"/>
                <c:ext xmlns:c16="http://schemas.microsoft.com/office/drawing/2014/chart" uri="{C3380CC4-5D6E-409C-BE32-E72D297353CC}">
                  <c16:uniqueId val="{00000003-BF23-472B-B6EA-E5903B3AD43D}"/>
                </c:ext>
              </c:extLst>
            </c:dLbl>
            <c:dLbl>
              <c:idx val="10"/>
              <c:delete val="1"/>
              <c:extLst>
                <c:ext xmlns:c15="http://schemas.microsoft.com/office/drawing/2012/chart" uri="{CE6537A1-D6FC-4f65-9D91-7224C49458BB}"/>
                <c:ext xmlns:c16="http://schemas.microsoft.com/office/drawing/2014/chart" uri="{C3380CC4-5D6E-409C-BE32-E72D297353CC}">
                  <c16:uniqueId val="{00000004-BF23-472B-B6EA-E5903B3AD43D}"/>
                </c:ext>
              </c:extLst>
            </c:dLbl>
            <c:dLbl>
              <c:idx val="12"/>
              <c:delete val="1"/>
              <c:extLst>
                <c:ext xmlns:c15="http://schemas.microsoft.com/office/drawing/2012/chart" uri="{CE6537A1-D6FC-4f65-9D91-7224C49458BB}"/>
                <c:ext xmlns:c16="http://schemas.microsoft.com/office/drawing/2014/chart" uri="{C3380CC4-5D6E-409C-BE32-E72D297353CC}">
                  <c16:uniqueId val="{00000005-BF23-472B-B6EA-E5903B3AD43D}"/>
                </c:ext>
              </c:extLst>
            </c:dLbl>
            <c:dLbl>
              <c:idx val="14"/>
              <c:delete val="1"/>
              <c:extLst>
                <c:ext xmlns:c15="http://schemas.microsoft.com/office/drawing/2012/chart" uri="{CE6537A1-D6FC-4f65-9D91-7224C49458BB}"/>
                <c:ext xmlns:c16="http://schemas.microsoft.com/office/drawing/2014/chart" uri="{C3380CC4-5D6E-409C-BE32-E72D297353CC}">
                  <c16:uniqueId val="{00000006-BF23-472B-B6EA-E5903B3AD43D}"/>
                </c:ext>
              </c:extLst>
            </c:dLbl>
            <c:dLbl>
              <c:idx val="16"/>
              <c:delete val="1"/>
              <c:extLst>
                <c:ext xmlns:c15="http://schemas.microsoft.com/office/drawing/2012/chart" uri="{CE6537A1-D6FC-4f65-9D91-7224C49458BB}"/>
                <c:ext xmlns:c16="http://schemas.microsoft.com/office/drawing/2014/chart" uri="{C3380CC4-5D6E-409C-BE32-E72D297353CC}">
                  <c16:uniqueId val="{00000007-BF23-472B-B6EA-E5903B3AD43D}"/>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Data (HIDE)'!$C$82:$V$82</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(HIDE)'!$C$83:$V$83</c:f>
              <c:numCache>
                <c:formatCode>0.00%</c:formatCode>
                <c:ptCount val="20"/>
                <c:pt idx="0">
                  <c:v>2.6024096385542171E-2</c:v>
                </c:pt>
                <c:pt idx="1">
                  <c:v>2.5272727272727273E-2</c:v>
                </c:pt>
                <c:pt idx="2">
                  <c:v>2.478658536585366E-2</c:v>
                </c:pt>
                <c:pt idx="3">
                  <c:v>2.3803680981595091E-2</c:v>
                </c:pt>
                <c:pt idx="4">
                  <c:v>2.314814814814815E-2</c:v>
                </c:pt>
                <c:pt idx="5">
                  <c:v>2.2639751552795032E-2</c:v>
                </c:pt>
                <c:pt idx="6">
                  <c:v>2.1968749999999999E-2</c:v>
                </c:pt>
                <c:pt idx="7">
                  <c:v>2.1446540880503143E-2</c:v>
                </c:pt>
                <c:pt idx="8">
                  <c:v>2.0759493670886073E-2</c:v>
                </c:pt>
                <c:pt idx="9">
                  <c:v>2.0127388535031848E-2</c:v>
                </c:pt>
                <c:pt idx="10">
                  <c:v>1.9615384615384614E-2</c:v>
                </c:pt>
                <c:pt idx="11">
                  <c:v>1.8838709677419355E-2</c:v>
                </c:pt>
                <c:pt idx="12">
                  <c:v>1.827922077922078E-2</c:v>
                </c:pt>
                <c:pt idx="13">
                  <c:v>1.8169934640522876E-2</c:v>
                </c:pt>
                <c:pt idx="14">
                  <c:v>1.7532894736842105E-2</c:v>
                </c:pt>
                <c:pt idx="15">
                  <c:v>#N/A</c:v>
                </c:pt>
                <c:pt idx="16">
                  <c:v>#N/A</c:v>
                </c:pt>
                <c:pt idx="17">
                  <c:v>#N/A</c:v>
                </c:pt>
                <c:pt idx="18">
                  <c:v>#N/A</c:v>
                </c:pt>
                <c:pt idx="19">
                  <c:v>#N/A</c:v>
                </c:pt>
              </c:numCache>
            </c:numRef>
          </c:val>
          <c:smooth val="0"/>
          <c:extLst>
            <c:ext xmlns:c16="http://schemas.microsoft.com/office/drawing/2014/chart" uri="{C3380CC4-5D6E-409C-BE32-E72D297353CC}">
              <c16:uniqueId val="{00000008-BF23-472B-B6EA-E5903B3AD43D}"/>
            </c:ext>
          </c:extLst>
        </c:ser>
        <c:dLbls>
          <c:showLegendKey val="0"/>
          <c:showVal val="0"/>
          <c:showCatName val="0"/>
          <c:showSerName val="0"/>
          <c:showPercent val="0"/>
          <c:showBubbleSize val="0"/>
        </c:dLbls>
        <c:marker val="1"/>
        <c:smooth val="0"/>
        <c:axId val="3"/>
        <c:axId val="4"/>
      </c:lineChart>
      <c:catAx>
        <c:axId val="215193768"/>
        <c:scaling>
          <c:orientation val="minMax"/>
        </c:scaling>
        <c:delete val="0"/>
        <c:axPos val="b"/>
        <c:numFmt formatCode="&quot;$&quot;#,##0"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CA"/>
                  <a:t>$ Cost Per $ Coverage</a:t>
                </a:r>
              </a:p>
            </c:rich>
          </c:tx>
          <c:overlay val="0"/>
        </c:title>
        <c:numFmt formatCode="&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193768"/>
        <c:crosses val="autoZero"/>
        <c:crossBetween val="between"/>
      </c:valAx>
      <c:catAx>
        <c:axId val="3"/>
        <c:scaling>
          <c:orientation val="minMax"/>
        </c:scaling>
        <c:delete val="1"/>
        <c:axPos val="b"/>
        <c:numFmt formatCode="&quot;$&quot;#,##0"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85000"/>
          </a:schemeClr>
        </a:solidFill>
      </c:spPr>
    </c:plotArea>
    <c:legend>
      <c:legendPos val="r"/>
      <c:layout>
        <c:manualLayout>
          <c:xMode val="edge"/>
          <c:yMode val="edge"/>
          <c:x val="7.0073080112262071E-2"/>
          <c:y val="0.90476281153266946"/>
          <c:w val="0.87299378973193154"/>
          <c:h val="5.0903170884778144E-2"/>
        </c:manualLayout>
      </c:layout>
      <c:overlay val="0"/>
      <c:txPr>
        <a:bodyPr/>
        <a:lstStyle/>
        <a:p>
          <a:pPr>
            <a:defRPr sz="92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'Graph Data (HIDE)'!$B$54</c:f>
          <c:strCache>
            <c:ptCount val="1"/>
            <c:pt idx="0">
              <c:v>LPIP - Risk &amp; Reward Analysis</c:v>
            </c:pt>
          </c:strCache>
        </c:strRef>
      </c:tx>
      <c:overlay val="0"/>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1768620072933365"/>
          <c:h val="0.64897809079047464"/>
        </c:manualLayout>
      </c:layout>
      <c:lineChart>
        <c:grouping val="standard"/>
        <c:varyColors val="0"/>
        <c:ser>
          <c:idx val="0"/>
          <c:order val="0"/>
          <c:tx>
            <c:strRef>
              <c:f>'Graph Data (HIDE)'!$B$60</c:f>
              <c:strCache>
                <c:ptCount val="1"/>
                <c:pt idx="0">
                  <c:v>Return on Investment (Reward) @ Est. Mkt. Price $320/cwt</c:v>
                </c:pt>
              </c:strCache>
            </c:strRef>
          </c:tx>
          <c:spPr>
            <a:ln>
              <a:solidFill>
                <a:schemeClr val="tx1"/>
              </a:solidFill>
            </a:ln>
          </c:spPr>
          <c:marker>
            <c:symbol val="none"/>
          </c:marker>
          <c:dLbls>
            <c:dLbl>
              <c:idx val="0"/>
              <c:layout>
                <c:manualLayout>
                  <c:x val="-1.8379072122196347E-17"/>
                  <c:y val="-2.3940150879502103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D4-41C2-B38D-0ED9065E1645}"/>
                </c:ext>
              </c:extLst>
            </c:dLbl>
            <c:dLbl>
              <c:idx val="1"/>
              <c:delete val="1"/>
              <c:extLst>
                <c:ext xmlns:c15="http://schemas.microsoft.com/office/drawing/2012/chart" uri="{CE6537A1-D6FC-4f65-9D91-7224C49458BB}"/>
                <c:ext xmlns:c16="http://schemas.microsoft.com/office/drawing/2014/chart" uri="{C3380CC4-5D6E-409C-BE32-E72D297353CC}">
                  <c16:uniqueId val="{00000001-4BD4-41C2-B38D-0ED9065E1645}"/>
                </c:ext>
              </c:extLst>
            </c:dLbl>
            <c:dLbl>
              <c:idx val="2"/>
              <c:delete val="1"/>
              <c:extLst>
                <c:ext xmlns:c15="http://schemas.microsoft.com/office/drawing/2012/chart" uri="{CE6537A1-D6FC-4f65-9D91-7224C49458BB}"/>
                <c:ext xmlns:c16="http://schemas.microsoft.com/office/drawing/2014/chart" uri="{C3380CC4-5D6E-409C-BE32-E72D297353CC}">
                  <c16:uniqueId val="{00000002-4BD4-41C2-B38D-0ED9065E1645}"/>
                </c:ext>
              </c:extLst>
            </c:dLbl>
            <c:dLbl>
              <c:idx val="3"/>
              <c:delete val="1"/>
              <c:extLst>
                <c:ext xmlns:c15="http://schemas.microsoft.com/office/drawing/2012/chart" uri="{CE6537A1-D6FC-4f65-9D91-7224C49458BB}"/>
                <c:ext xmlns:c16="http://schemas.microsoft.com/office/drawing/2014/chart" uri="{C3380CC4-5D6E-409C-BE32-E72D297353CC}">
                  <c16:uniqueId val="{00000003-4BD4-41C2-B38D-0ED9065E1645}"/>
                </c:ext>
              </c:extLst>
            </c:dLbl>
            <c:dLbl>
              <c:idx val="4"/>
              <c:delete val="1"/>
              <c:extLst>
                <c:ext xmlns:c15="http://schemas.microsoft.com/office/drawing/2012/chart" uri="{CE6537A1-D6FC-4f65-9D91-7224C49458BB}"/>
                <c:ext xmlns:c16="http://schemas.microsoft.com/office/drawing/2014/chart" uri="{C3380CC4-5D6E-409C-BE32-E72D297353CC}">
                  <c16:uniqueId val="{00000004-4BD4-41C2-B38D-0ED9065E1645}"/>
                </c:ext>
              </c:extLst>
            </c:dLbl>
            <c:dLbl>
              <c:idx val="5"/>
              <c:delete val="1"/>
              <c:extLst>
                <c:ext xmlns:c15="http://schemas.microsoft.com/office/drawing/2012/chart" uri="{CE6537A1-D6FC-4f65-9D91-7224C49458BB}"/>
                <c:ext xmlns:c16="http://schemas.microsoft.com/office/drawing/2014/chart" uri="{C3380CC4-5D6E-409C-BE32-E72D297353CC}">
                  <c16:uniqueId val="{00000005-4BD4-41C2-B38D-0ED9065E1645}"/>
                </c:ext>
              </c:extLst>
            </c:dLbl>
            <c:dLbl>
              <c:idx val="6"/>
              <c:delete val="1"/>
              <c:extLst>
                <c:ext xmlns:c15="http://schemas.microsoft.com/office/drawing/2012/chart" uri="{CE6537A1-D6FC-4f65-9D91-7224C49458BB}"/>
                <c:ext xmlns:c16="http://schemas.microsoft.com/office/drawing/2014/chart" uri="{C3380CC4-5D6E-409C-BE32-E72D297353CC}">
                  <c16:uniqueId val="{00000006-4BD4-41C2-B38D-0ED9065E1645}"/>
                </c:ext>
              </c:extLst>
            </c:dLbl>
            <c:dLbl>
              <c:idx val="7"/>
              <c:delete val="1"/>
              <c:extLst>
                <c:ext xmlns:c15="http://schemas.microsoft.com/office/drawing/2012/chart" uri="{CE6537A1-D6FC-4f65-9D91-7224C49458BB}"/>
                <c:ext xmlns:c16="http://schemas.microsoft.com/office/drawing/2014/chart" uri="{C3380CC4-5D6E-409C-BE32-E72D297353CC}">
                  <c16:uniqueId val="{00000007-4BD4-41C2-B38D-0ED9065E1645}"/>
                </c:ext>
              </c:extLst>
            </c:dLbl>
            <c:dLbl>
              <c:idx val="8"/>
              <c:delete val="1"/>
              <c:extLst>
                <c:ext xmlns:c15="http://schemas.microsoft.com/office/drawing/2012/chart" uri="{CE6537A1-D6FC-4f65-9D91-7224C49458BB}"/>
                <c:ext xmlns:c16="http://schemas.microsoft.com/office/drawing/2014/chart" uri="{C3380CC4-5D6E-409C-BE32-E72D297353CC}">
                  <c16:uniqueId val="{00000008-4BD4-41C2-B38D-0ED9065E1645}"/>
                </c:ext>
              </c:extLst>
            </c:dLbl>
            <c:dLbl>
              <c:idx val="9"/>
              <c:delete val="1"/>
              <c:extLst>
                <c:ext xmlns:c15="http://schemas.microsoft.com/office/drawing/2012/chart" uri="{CE6537A1-D6FC-4f65-9D91-7224C49458BB}"/>
                <c:ext xmlns:c16="http://schemas.microsoft.com/office/drawing/2014/chart" uri="{C3380CC4-5D6E-409C-BE32-E72D297353CC}">
                  <c16:uniqueId val="{00000009-4BD4-41C2-B38D-0ED9065E1645}"/>
                </c:ext>
              </c:extLst>
            </c:dLbl>
            <c:dLbl>
              <c:idx val="10"/>
              <c:delete val="1"/>
              <c:extLst>
                <c:ext xmlns:c15="http://schemas.microsoft.com/office/drawing/2012/chart" uri="{CE6537A1-D6FC-4f65-9D91-7224C49458BB}"/>
                <c:ext xmlns:c16="http://schemas.microsoft.com/office/drawing/2014/chart" uri="{C3380CC4-5D6E-409C-BE32-E72D297353CC}">
                  <c16:uniqueId val="{0000000A-4BD4-41C2-B38D-0ED9065E1645}"/>
                </c:ext>
              </c:extLst>
            </c:dLbl>
            <c:dLbl>
              <c:idx val="11"/>
              <c:delete val="1"/>
              <c:extLst>
                <c:ext xmlns:c15="http://schemas.microsoft.com/office/drawing/2012/chart" uri="{CE6537A1-D6FC-4f65-9D91-7224C49458BB}"/>
                <c:ext xmlns:c16="http://schemas.microsoft.com/office/drawing/2014/chart" uri="{C3380CC4-5D6E-409C-BE32-E72D297353CC}">
                  <c16:uniqueId val="{0000000B-4BD4-41C2-B38D-0ED9065E1645}"/>
                </c:ext>
              </c:extLst>
            </c:dLbl>
            <c:dLbl>
              <c:idx val="12"/>
              <c:delete val="1"/>
              <c:extLst>
                <c:ext xmlns:c15="http://schemas.microsoft.com/office/drawing/2012/chart" uri="{CE6537A1-D6FC-4f65-9D91-7224C49458BB}"/>
                <c:ext xmlns:c16="http://schemas.microsoft.com/office/drawing/2014/chart" uri="{C3380CC4-5D6E-409C-BE32-E72D297353CC}">
                  <c16:uniqueId val="{0000000C-4BD4-41C2-B38D-0ED9065E1645}"/>
                </c:ext>
              </c:extLst>
            </c:dLbl>
            <c:dLbl>
              <c:idx val="13"/>
              <c:delete val="1"/>
              <c:extLst>
                <c:ext xmlns:c15="http://schemas.microsoft.com/office/drawing/2012/chart" uri="{CE6537A1-D6FC-4f65-9D91-7224C49458BB}"/>
                <c:ext xmlns:c16="http://schemas.microsoft.com/office/drawing/2014/chart" uri="{C3380CC4-5D6E-409C-BE32-E72D297353CC}">
                  <c16:uniqueId val="{0000000D-4BD4-41C2-B38D-0ED9065E1645}"/>
                </c:ext>
              </c:extLst>
            </c:dLbl>
            <c:dLbl>
              <c:idx val="14"/>
              <c:delete val="1"/>
              <c:extLst>
                <c:ext xmlns:c15="http://schemas.microsoft.com/office/drawing/2012/chart" uri="{CE6537A1-D6FC-4f65-9D91-7224C49458BB}"/>
                <c:ext xmlns:c16="http://schemas.microsoft.com/office/drawing/2014/chart" uri="{C3380CC4-5D6E-409C-BE32-E72D297353CC}">
                  <c16:uniqueId val="{0000000E-4BD4-41C2-B38D-0ED9065E1645}"/>
                </c:ext>
              </c:extLst>
            </c:dLbl>
            <c:dLbl>
              <c:idx val="15"/>
              <c:delete val="1"/>
              <c:extLst>
                <c:ext xmlns:c15="http://schemas.microsoft.com/office/drawing/2012/chart" uri="{CE6537A1-D6FC-4f65-9D91-7224C49458BB}"/>
                <c:ext xmlns:c16="http://schemas.microsoft.com/office/drawing/2014/chart" uri="{C3380CC4-5D6E-409C-BE32-E72D297353CC}">
                  <c16:uniqueId val="{0000000F-4BD4-41C2-B38D-0ED9065E1645}"/>
                </c:ext>
              </c:extLst>
            </c:dLbl>
            <c:dLbl>
              <c:idx val="16"/>
              <c:delete val="1"/>
              <c:extLst>
                <c:ext xmlns:c15="http://schemas.microsoft.com/office/drawing/2012/chart" uri="{CE6537A1-D6FC-4f65-9D91-7224C49458BB}"/>
                <c:ext xmlns:c16="http://schemas.microsoft.com/office/drawing/2014/chart" uri="{C3380CC4-5D6E-409C-BE32-E72D297353CC}">
                  <c16:uniqueId val="{00000010-4BD4-41C2-B38D-0ED9065E1645}"/>
                </c:ext>
              </c:extLst>
            </c:dLbl>
            <c:dLbl>
              <c:idx val="17"/>
              <c:delete val="1"/>
              <c:extLst>
                <c:ext xmlns:c15="http://schemas.microsoft.com/office/drawing/2012/chart" uri="{CE6537A1-D6FC-4f65-9D91-7224C49458BB}"/>
                <c:ext xmlns:c16="http://schemas.microsoft.com/office/drawing/2014/chart" uri="{C3380CC4-5D6E-409C-BE32-E72D297353CC}">
                  <c16:uniqueId val="{00000011-4BD4-41C2-B38D-0ED9065E1645}"/>
                </c:ext>
              </c:extLst>
            </c:dLbl>
            <c:dLbl>
              <c:idx val="18"/>
              <c:delete val="1"/>
              <c:extLst>
                <c:ext xmlns:c15="http://schemas.microsoft.com/office/drawing/2012/chart" uri="{CE6537A1-D6FC-4f65-9D91-7224C49458BB}"/>
                <c:ext xmlns:c16="http://schemas.microsoft.com/office/drawing/2014/chart" uri="{C3380CC4-5D6E-409C-BE32-E72D297353CC}">
                  <c16:uniqueId val="{00000012-4BD4-41C2-B38D-0ED9065E1645}"/>
                </c:ext>
              </c:extLst>
            </c:dLbl>
            <c:dLbl>
              <c:idx val="19"/>
              <c:delete val="1"/>
              <c:extLst>
                <c:ext xmlns:c15="http://schemas.microsoft.com/office/drawing/2012/chart" uri="{CE6537A1-D6FC-4f65-9D91-7224C49458BB}"/>
                <c:ext xmlns:c16="http://schemas.microsoft.com/office/drawing/2014/chart" uri="{C3380CC4-5D6E-409C-BE32-E72D297353CC}">
                  <c16:uniqueId val="{00000013-4BD4-41C2-B38D-0ED9065E164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Data (HIDE)'!$C$55:$V$55</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(HIDE)'!$C$60:$V$60</c:f>
              <c:numCache>
                <c:formatCode>0.00%</c:formatCode>
                <c:ptCount val="20"/>
                <c:pt idx="0">
                  <c:v>7.9185048404169206E-2</c:v>
                </c:pt>
                <c:pt idx="1">
                  <c:v>7.9185048404169206E-2</c:v>
                </c:pt>
                <c:pt idx="2">
                  <c:v>7.9185048404169206E-2</c:v>
                </c:pt>
                <c:pt idx="3">
                  <c:v>7.9185048404169206E-2</c:v>
                </c:pt>
                <c:pt idx="4">
                  <c:v>7.9185048404169206E-2</c:v>
                </c:pt>
                <c:pt idx="5">
                  <c:v>7.9185048404169206E-2</c:v>
                </c:pt>
                <c:pt idx="6">
                  <c:v>7.9185048404169206E-2</c:v>
                </c:pt>
                <c:pt idx="7">
                  <c:v>7.9185048404169206E-2</c:v>
                </c:pt>
                <c:pt idx="8">
                  <c:v>7.9185048404169206E-2</c:v>
                </c:pt>
                <c:pt idx="9">
                  <c:v>7.9185048404169206E-2</c:v>
                </c:pt>
                <c:pt idx="10">
                  <c:v>7.9185048404169206E-2</c:v>
                </c:pt>
                <c:pt idx="11">
                  <c:v>7.9185048404169206E-2</c:v>
                </c:pt>
                <c:pt idx="12">
                  <c:v>7.9185048404169206E-2</c:v>
                </c:pt>
                <c:pt idx="13">
                  <c:v>7.9185048404169206E-2</c:v>
                </c:pt>
                <c:pt idx="14">
                  <c:v>7.9185048404169206E-2</c:v>
                </c:pt>
                <c:pt idx="15">
                  <c:v>7.9185048404169206E-2</c:v>
                </c:pt>
                <c:pt idx="16">
                  <c:v>7.9185048404169206E-2</c:v>
                </c:pt>
                <c:pt idx="17">
                  <c:v>7.9185048404169206E-2</c:v>
                </c:pt>
                <c:pt idx="18">
                  <c:v>7.9185048404169206E-2</c:v>
                </c:pt>
                <c:pt idx="19">
                  <c:v>7.9185048404169206E-2</c:v>
                </c:pt>
              </c:numCache>
            </c:numRef>
          </c:val>
          <c:smooth val="0"/>
          <c:extLst>
            <c:ext xmlns:c16="http://schemas.microsoft.com/office/drawing/2014/chart" uri="{C3380CC4-5D6E-409C-BE32-E72D297353CC}">
              <c16:uniqueId val="{00000014-4BD4-41C2-B38D-0ED9065E1645}"/>
            </c:ext>
          </c:extLst>
        </c:ser>
        <c:dLbls>
          <c:showLegendKey val="0"/>
          <c:showVal val="0"/>
          <c:showCatName val="0"/>
          <c:showSerName val="0"/>
          <c:showPercent val="0"/>
          <c:showBubbleSize val="0"/>
        </c:dLbls>
        <c:marker val="1"/>
        <c:smooth val="0"/>
        <c:axId val="214980328"/>
        <c:axId val="1"/>
      </c:lineChart>
      <c:lineChart>
        <c:grouping val="standard"/>
        <c:varyColors val="0"/>
        <c:ser>
          <c:idx val="2"/>
          <c:order val="1"/>
          <c:tx>
            <c:strRef>
              <c:f>'Graph Data (HIDE)'!$B$56</c:f>
              <c:strCache>
                <c:ptCount val="1"/>
                <c:pt idx="0">
                  <c:v>WLPIP Coverage of Total Costs (Risk)</c:v>
                </c:pt>
              </c:strCache>
            </c:strRef>
          </c:tx>
          <c:spPr>
            <a:ln w="31750" cmpd="sng">
              <a:solidFill>
                <a:srgbClr val="FF0000"/>
              </a:solidFill>
              <a:prstDash val="solid"/>
            </a:ln>
          </c:spPr>
          <c:marker>
            <c:symbol val="none"/>
          </c:marker>
          <c:val>
            <c:numRef>
              <c:f>'Graph Data (HIDE)'!$C$56:$V$56</c:f>
              <c:numCache>
                <c:formatCode>0.00%</c:formatCode>
                <c:ptCount val="20"/>
                <c:pt idx="0">
                  <c:v>1.1196544877193255</c:v>
                </c:pt>
                <c:pt idx="1">
                  <c:v>1.1129095811667993</c:v>
                </c:pt>
                <c:pt idx="2">
                  <c:v>1.1061646746142733</c:v>
                </c:pt>
                <c:pt idx="3">
                  <c:v>1.0994197680617472</c:v>
                </c:pt>
                <c:pt idx="4">
                  <c:v>1.0926748615092212</c:v>
                </c:pt>
                <c:pt idx="5">
                  <c:v>1.0859299549566952</c:v>
                </c:pt>
                <c:pt idx="6">
                  <c:v>1.0791850484041692</c:v>
                </c:pt>
                <c:pt idx="7">
                  <c:v>1.0724401418516432</c:v>
                </c:pt>
                <c:pt idx="8">
                  <c:v>1.0656952352991171</c:v>
                </c:pt>
                <c:pt idx="9">
                  <c:v>1.0589503287465909</c:v>
                </c:pt>
                <c:pt idx="10">
                  <c:v>1.0522054221940649</c:v>
                </c:pt>
                <c:pt idx="11">
                  <c:v>1.0454605156415389</c:v>
                </c:pt>
                <c:pt idx="12">
                  <c:v>1.0387156090890128</c:v>
                </c:pt>
                <c:pt idx="13">
                  <c:v>1.0319707025364868</c:v>
                </c:pt>
                <c:pt idx="14">
                  <c:v>1.0252257959839606</c:v>
                </c:pt>
                <c:pt idx="15">
                  <c:v>#N/A</c:v>
                </c:pt>
                <c:pt idx="16">
                  <c:v>#N/A</c:v>
                </c:pt>
                <c:pt idx="17">
                  <c:v>#N/A</c:v>
                </c:pt>
                <c:pt idx="18">
                  <c:v>#N/A</c:v>
                </c:pt>
                <c:pt idx="19">
                  <c:v>#N/A</c:v>
                </c:pt>
              </c:numCache>
            </c:numRef>
          </c:val>
          <c:smooth val="0"/>
          <c:extLst>
            <c:ext xmlns:c16="http://schemas.microsoft.com/office/drawing/2014/chart" uri="{C3380CC4-5D6E-409C-BE32-E72D297353CC}">
              <c16:uniqueId val="{00000015-4BD4-41C2-B38D-0ED9065E1645}"/>
            </c:ext>
          </c:extLst>
        </c:ser>
        <c:dLbls>
          <c:showLegendKey val="0"/>
          <c:showVal val="0"/>
          <c:showCatName val="0"/>
          <c:showSerName val="0"/>
          <c:showPercent val="0"/>
          <c:showBubbleSize val="0"/>
        </c:dLbls>
        <c:marker val="1"/>
        <c:smooth val="0"/>
        <c:axId val="3"/>
        <c:axId val="4"/>
      </c:lineChart>
      <c:catAx>
        <c:axId val="214980328"/>
        <c:scaling>
          <c:orientation val="minMax"/>
        </c:scaling>
        <c:delete val="0"/>
        <c:axPos val="b"/>
        <c:title>
          <c:tx>
            <c:rich>
              <a:bodyPr/>
              <a:lstStyle/>
              <a:p>
                <a:pPr>
                  <a:defRPr sz="1400" b="1" i="0" u="none" strike="noStrike" baseline="0">
                    <a:solidFill>
                      <a:srgbClr val="000000"/>
                    </a:solidFill>
                    <a:latin typeface="Calibri"/>
                    <a:ea typeface="Calibri"/>
                    <a:cs typeface="Calibri"/>
                  </a:defRPr>
                </a:pPr>
                <a:r>
                  <a:rPr lang="en-CA"/>
                  <a:t>Insured Index ($/cwt)</a:t>
                </a:r>
              </a:p>
            </c:rich>
          </c:tx>
          <c:overlay val="0"/>
        </c:title>
        <c:numFmt formatCode="&quot;$&quot;#,##0"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CA"/>
                  <a:t>ROI (Reward) </a:t>
                </a:r>
              </a:p>
            </c:rich>
          </c:tx>
          <c:overlay val="0"/>
        </c:title>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980328"/>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sz="1400" b="1" i="0" u="none" strike="noStrike" baseline="0">
                    <a:solidFill>
                      <a:srgbClr val="000000"/>
                    </a:solidFill>
                    <a:latin typeface="Calibri"/>
                    <a:ea typeface="Calibri"/>
                    <a:cs typeface="Calibri"/>
                  </a:defRPr>
                </a:pPr>
                <a:r>
                  <a:rPr lang="en-CA"/>
                  <a:t>Cost Coverage (Risk)</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95000"/>
          </a:schemeClr>
        </a:solidFill>
      </c:spPr>
    </c:plotArea>
    <c:legend>
      <c:legendPos val="r"/>
      <c:layout>
        <c:manualLayout>
          <c:xMode val="edge"/>
          <c:yMode val="edge"/>
          <c:x val="6.6957918354169144E-2"/>
          <c:y val="0.87149935153904146"/>
          <c:w val="0.9024762908605406"/>
          <c:h val="7.0840211939846479E-2"/>
        </c:manualLayout>
      </c:layout>
      <c:overlay val="0"/>
      <c:txPr>
        <a:bodyPr/>
        <a:lstStyle/>
        <a:p>
          <a:pPr>
            <a:defRPr sz="92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(HIDE)'!$B$7</c:f>
          <c:strCache>
            <c:ptCount val="1"/>
            <c:pt idx="0">
              <c:v>LPIP - Per Head</c:v>
            </c:pt>
          </c:strCache>
        </c:strRef>
      </c:tx>
      <c:overlay val="0"/>
      <c:spPr>
        <a:noFill/>
        <a:ln w="25400">
          <a:noFill/>
        </a:ln>
      </c:spPr>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1858812585135718"/>
          <c:y val="9.8316766070245212E-2"/>
          <c:w val="0.83318714907472025"/>
          <c:h val="0.56702389338509629"/>
        </c:manualLayout>
      </c:layout>
      <c:lineChart>
        <c:grouping val="standard"/>
        <c:varyColors val="0"/>
        <c:ser>
          <c:idx val="3"/>
          <c:order val="0"/>
          <c:tx>
            <c:strRef>
              <c:f>'Graph Data (HIDE)'!$B$12</c:f>
              <c:strCache>
                <c:ptCount val="1"/>
                <c:pt idx="0">
                  <c:v>Total Costs per Head (incl. LPIP Premium) Not Covered By the LPIP Insured Value</c:v>
                </c:pt>
              </c:strCache>
            </c:strRef>
          </c:tx>
          <c:spPr>
            <a:ln w="25400">
              <a:solidFill>
                <a:srgbClr val="FF0000"/>
              </a:solidFill>
              <a:prstDash val="solid"/>
            </a:ln>
          </c:spPr>
          <c:marker>
            <c:symbol val="none"/>
          </c:marker>
          <c:val>
            <c:numRef>
              <c:f>'Graph Data (HIDE)'!$C$12:$V$12</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0-4499-4FC6-8D14-6BBE7445D466}"/>
            </c:ext>
          </c:extLst>
        </c:ser>
        <c:ser>
          <c:idx val="0"/>
          <c:order val="1"/>
          <c:tx>
            <c:strRef>
              <c:f>'Graph Data (HIDE)'!$B$13</c:f>
              <c:strCache>
                <c:ptCount val="1"/>
                <c:pt idx="0">
                  <c:v>Net Profit (based on Est. Settlement Price @ $280/cwt + LPIP Payment per head)</c:v>
                </c:pt>
              </c:strCache>
            </c:strRef>
          </c:tx>
          <c:spPr>
            <a:ln w="28575" cap="rnd">
              <a:solidFill>
                <a:schemeClr val="tx1"/>
              </a:solidFill>
              <a:prstDash val="solid"/>
              <a:round/>
            </a:ln>
            <a:effectLst/>
          </c:spPr>
          <c:marker>
            <c:symbol val="none"/>
          </c:marker>
          <c:cat>
            <c:numRef>
              <c:f>'Graph Data (HIDE)'!$C$8:$V$8</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(HIDE)'!$C$13:$V$13</c:f>
              <c:numCache>
                <c:formatCode>"$"#,##0.00</c:formatCode>
                <c:ptCount val="20"/>
                <c:pt idx="0">
                  <c:v>234.3127999999997</c:v>
                </c:pt>
                <c:pt idx="1">
                  <c:v>219.4717999999998</c:v>
                </c:pt>
                <c:pt idx="2">
                  <c:v>203.84509999999955</c:v>
                </c:pt>
                <c:pt idx="3">
                  <c:v>189.61519999999973</c:v>
                </c:pt>
                <c:pt idx="4">
                  <c:v>174.42499999999973</c:v>
                </c:pt>
                <c:pt idx="5">
                  <c:v>158.79829999999947</c:v>
                </c:pt>
                <c:pt idx="6">
                  <c:v>143.60809999999947</c:v>
                </c:pt>
                <c:pt idx="7">
                  <c:v>127.98139999999967</c:v>
                </c:pt>
                <c:pt idx="8">
                  <c:v>112.79119999999966</c:v>
                </c:pt>
                <c:pt idx="9">
                  <c:v>97.42639999999983</c:v>
                </c:pt>
                <c:pt idx="10">
                  <c:v>81.712399999999889</c:v>
                </c:pt>
                <c:pt idx="11">
                  <c:v>66.696799999999712</c:v>
                </c:pt>
                <c:pt idx="12">
                  <c:v>51.070099999999911</c:v>
                </c:pt>
                <c:pt idx="13">
                  <c:v>34.221199999999953</c:v>
                </c:pt>
                <c:pt idx="14">
                  <c:v>18.769099999999526</c:v>
                </c:pt>
                <c:pt idx="15">
                  <c:v>#N/A</c:v>
                </c:pt>
                <c:pt idx="16">
                  <c:v>#N/A</c:v>
                </c:pt>
                <c:pt idx="17">
                  <c:v>#N/A</c:v>
                </c:pt>
                <c:pt idx="18">
                  <c:v>#N/A</c:v>
                </c:pt>
                <c:pt idx="19">
                  <c:v>#N/A</c:v>
                </c:pt>
              </c:numCache>
            </c:numRef>
          </c:val>
          <c:smooth val="0"/>
          <c:extLst>
            <c:ext xmlns:c16="http://schemas.microsoft.com/office/drawing/2014/chart" uri="{C3380CC4-5D6E-409C-BE32-E72D297353CC}">
              <c16:uniqueId val="{00000001-4499-4FC6-8D14-6BBE7445D466}"/>
            </c:ext>
          </c:extLst>
        </c:ser>
        <c:ser>
          <c:idx val="4"/>
          <c:order val="2"/>
          <c:tx>
            <c:strRef>
              <c:f>'Graph Data (HIDE)'!$B$14</c:f>
              <c:strCache>
                <c:ptCount val="1"/>
                <c:pt idx="0">
                  <c:v>Marginal Return Over Operating &amp; Fixed Costs (based on Est. Settlement Price @ $280/cwt + LPIP Payment per head)</c:v>
                </c:pt>
              </c:strCache>
            </c:strRef>
          </c:tx>
          <c:spPr>
            <a:ln w="28575" cap="rnd">
              <a:solidFill>
                <a:schemeClr val="tx1"/>
              </a:solidFill>
              <a:prstDash val="dash"/>
              <a:round/>
            </a:ln>
            <a:effectLst/>
          </c:spPr>
          <c:marker>
            <c:symbol val="none"/>
          </c:marker>
          <c:val>
            <c:numRef>
              <c:f>'Graph Data (HIDE)'!$C$14:$V$14</c:f>
              <c:numCache>
                <c:formatCode>"$"#,##0.00</c:formatCode>
                <c:ptCount val="20"/>
                <c:pt idx="0">
                  <c:v>261.3127999999997</c:v>
                </c:pt>
                <c:pt idx="1">
                  <c:v>246.4717999999998</c:v>
                </c:pt>
                <c:pt idx="2">
                  <c:v>230.84509999999955</c:v>
                </c:pt>
                <c:pt idx="3">
                  <c:v>216.61519999999973</c:v>
                </c:pt>
                <c:pt idx="4">
                  <c:v>201.42499999999973</c:v>
                </c:pt>
                <c:pt idx="5">
                  <c:v>185.79829999999947</c:v>
                </c:pt>
                <c:pt idx="6">
                  <c:v>170.60809999999947</c:v>
                </c:pt>
                <c:pt idx="7">
                  <c:v>154.98139999999967</c:v>
                </c:pt>
                <c:pt idx="8">
                  <c:v>139.79119999999966</c:v>
                </c:pt>
                <c:pt idx="9">
                  <c:v>124.42639999999983</c:v>
                </c:pt>
                <c:pt idx="10">
                  <c:v>108.71239999999989</c:v>
                </c:pt>
                <c:pt idx="11">
                  <c:v>93.696799999999712</c:v>
                </c:pt>
                <c:pt idx="12">
                  <c:v>78.070099999999911</c:v>
                </c:pt>
                <c:pt idx="13">
                  <c:v>61.221199999999953</c:v>
                </c:pt>
                <c:pt idx="14">
                  <c:v>45.769099999999526</c:v>
                </c:pt>
                <c:pt idx="15">
                  <c:v>#N/A</c:v>
                </c:pt>
                <c:pt idx="16">
                  <c:v>#N/A</c:v>
                </c:pt>
                <c:pt idx="17">
                  <c:v>#N/A</c:v>
                </c:pt>
                <c:pt idx="18">
                  <c:v>#N/A</c:v>
                </c:pt>
                <c:pt idx="19">
                  <c:v>#N/A</c:v>
                </c:pt>
              </c:numCache>
            </c:numRef>
          </c:val>
          <c:smooth val="0"/>
          <c:extLst>
            <c:ext xmlns:c16="http://schemas.microsoft.com/office/drawing/2014/chart" uri="{C3380CC4-5D6E-409C-BE32-E72D297353CC}">
              <c16:uniqueId val="{00000002-4499-4FC6-8D14-6BBE7445D466}"/>
            </c:ext>
          </c:extLst>
        </c:ser>
        <c:ser>
          <c:idx val="5"/>
          <c:order val="3"/>
          <c:tx>
            <c:strRef>
              <c:f>'Graph Data (HIDE)'!$B$15</c:f>
              <c:strCache>
                <c:ptCount val="1"/>
                <c:pt idx="0">
                  <c:v>Op. &amp; Fixed Costs per Head (incl. LPIP Premium) Not Covered By the LPIP Insured Value</c:v>
                </c:pt>
              </c:strCache>
            </c:strRef>
          </c:tx>
          <c:spPr>
            <a:ln w="28575" cap="rnd">
              <a:solidFill>
                <a:srgbClr val="00B050"/>
              </a:solidFill>
              <a:round/>
            </a:ln>
            <a:effectLst/>
          </c:spPr>
          <c:marker>
            <c:symbol val="none"/>
          </c:marker>
          <c:val>
            <c:numRef>
              <c:f>'Graph Data (HIDE)'!$C$15:$V$15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3-4499-4FC6-8D14-6BBE7445D466}"/>
            </c:ext>
          </c:extLst>
        </c:ser>
        <c:dLbls>
          <c:showLegendKey val="0"/>
          <c:showVal val="0"/>
          <c:showCatName val="0"/>
          <c:showSerName val="0"/>
          <c:showPercent val="0"/>
          <c:showBubbleSize val="0"/>
        </c:dLbls>
        <c:smooth val="0"/>
        <c:axId val="215261704"/>
        <c:axId val="1"/>
      </c:lineChart>
      <c:catAx>
        <c:axId val="215261704"/>
        <c:scaling>
          <c:orientation val="minMax"/>
        </c:scaling>
        <c:delete val="0"/>
        <c:axPos val="b"/>
        <c:title>
          <c:tx>
            <c:rich>
              <a:bodyPr/>
              <a:lstStyle/>
              <a:p>
                <a:pPr>
                  <a:defRPr sz="1200" b="1" i="0" u="none" strike="noStrike" baseline="0">
                    <a:solidFill>
                      <a:srgbClr val="333333"/>
                    </a:solidFill>
                    <a:latin typeface="Calibri"/>
                    <a:ea typeface="Calibri"/>
                    <a:cs typeface="Calibri"/>
                  </a:defRPr>
                </a:pPr>
                <a:r>
                  <a:rPr lang="en-CA"/>
                  <a:t>Insured Index ($/cwt)</a:t>
                </a:r>
              </a:p>
            </c:rich>
          </c:tx>
          <c:overlay val="0"/>
          <c:spPr>
            <a:noFill/>
            <a:ln w="25400">
              <a:noFill/>
            </a:ln>
          </c:spPr>
        </c:title>
        <c:numFmt formatCode="General" sourceLinked="1"/>
        <c:majorTickMark val="none"/>
        <c:minorTickMark val="none"/>
        <c:tickLblPos val="low"/>
        <c:spPr>
          <a:noFill/>
          <a:ln w="25400" cap="flat" cmpd="sng" algn="ctr">
            <a:solidFill>
              <a:schemeClr val="tx1">
                <a:lumMod val="15000"/>
                <a:lumOff val="85000"/>
              </a:schemeClr>
            </a:solidFill>
            <a:round/>
          </a:ln>
          <a:effectLst/>
        </c:spPr>
        <c:txPr>
          <a:bodyPr rot="0" vert="horz"/>
          <a:lstStyle/>
          <a:p>
            <a:pPr>
              <a:defRPr sz="10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333333"/>
                    </a:solidFill>
                    <a:latin typeface="Calibri"/>
                    <a:ea typeface="Calibri"/>
                    <a:cs typeface="Calibri"/>
                  </a:defRPr>
                </a:pPr>
                <a:r>
                  <a:rPr lang="en-CA"/>
                  <a:t>$ per Head</a:t>
                </a:r>
              </a:p>
            </c:rich>
          </c:tx>
          <c:overlay val="0"/>
          <c:spPr>
            <a:noFill/>
            <a:ln w="25400">
              <a:noFill/>
            </a:ln>
          </c:spPr>
        </c:title>
        <c:numFmt formatCode="&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15261704"/>
        <c:crosses val="autoZero"/>
        <c:crossBetween val="between"/>
      </c:valAx>
      <c:spPr>
        <a:solidFill>
          <a:schemeClr val="bg1">
            <a:lumMod val="95000"/>
          </a:schemeClr>
        </a:solidFill>
        <a:ln>
          <a:noFill/>
        </a:ln>
        <a:effectLst/>
      </c:spPr>
    </c:plotArea>
    <c:legend>
      <c:legendPos val="r"/>
      <c:layout>
        <c:manualLayout>
          <c:xMode val="edge"/>
          <c:yMode val="edge"/>
          <c:x val="5.1867285596014126E-2"/>
          <c:y val="0.75901745667948661"/>
          <c:w val="0.90560280650640668"/>
          <c:h val="0.20327897327917141"/>
        </c:manualLayout>
      </c:layout>
      <c:overlay val="0"/>
      <c:spPr>
        <a:noFill/>
        <a:ln w="25400">
          <a:noFill/>
        </a:ln>
      </c:spPr>
      <c:txPr>
        <a:bodyPr/>
        <a:lstStyle/>
        <a:p>
          <a:pPr>
            <a:defRPr sz="845" b="0" i="0" u="none" strike="noStrike" baseline="0">
              <a:solidFill>
                <a:srgbClr val="333333"/>
              </a:solidFill>
              <a:latin typeface="Calibri"/>
              <a:ea typeface="Calibri"/>
              <a:cs typeface="Calibri"/>
            </a:defRPr>
          </a:pPr>
          <a:endParaRPr lang="en-US"/>
        </a:p>
      </c:txPr>
    </c:legend>
    <c:plotVisOnly val="0"/>
    <c:dispBlanksAs val="span"/>
    <c:showDLblsOverMax val="0"/>
  </c:chart>
  <c:spPr>
    <a:solidFill>
      <a:schemeClr val="bg1"/>
    </a:solidFill>
    <a:ln w="12700"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(HIDE)'!$B$42</c:f>
          <c:strCache>
            <c:ptCount val="1"/>
            <c:pt idx="0">
              <c:v>LPIP - Monetizing Risk &amp; Reward ($/cwt)</c:v>
            </c:pt>
          </c:strCache>
        </c:strRef>
      </c:tx>
      <c:overlay val="0"/>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barChart>
        <c:barDir val="col"/>
        <c:grouping val="stacked"/>
        <c:varyColors val="0"/>
        <c:ser>
          <c:idx val="0"/>
          <c:order val="0"/>
          <c:tx>
            <c:strRef>
              <c:f>'Graph Data (HIDE)'!$B$44</c:f>
              <c:strCache>
                <c:ptCount val="1"/>
                <c:pt idx="0">
                  <c:v>$/cwt WLPIP Covered Risk</c:v>
                </c:pt>
              </c:strCache>
            </c:strRef>
          </c:tx>
          <c:invertIfNegative val="0"/>
          <c:cat>
            <c:numRef>
              <c:f>'Graph Data (HIDE)'!$C$43:$V$43</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(HIDE)'!$C$44:$V$44</c:f>
              <c:numCache>
                <c:formatCode>"$"#,##0</c:formatCode>
                <c:ptCount val="20"/>
                <c:pt idx="0">
                  <c:v>296.52004581901485</c:v>
                </c:pt>
                <c:pt idx="1">
                  <c:v>296.52004581901485</c:v>
                </c:pt>
                <c:pt idx="2">
                  <c:v>296.52004581901485</c:v>
                </c:pt>
                <c:pt idx="3">
                  <c:v>296.52004581901485</c:v>
                </c:pt>
                <c:pt idx="4">
                  <c:v>296.52004581901485</c:v>
                </c:pt>
                <c:pt idx="5">
                  <c:v>296.52004581901485</c:v>
                </c:pt>
                <c:pt idx="6">
                  <c:v>296.52004581901485</c:v>
                </c:pt>
                <c:pt idx="7">
                  <c:v>296.52004581901485</c:v>
                </c:pt>
                <c:pt idx="8">
                  <c:v>296.52004581901485</c:v>
                </c:pt>
                <c:pt idx="9">
                  <c:v>296.52004581901485</c:v>
                </c:pt>
                <c:pt idx="10">
                  <c:v>296.52004581901485</c:v>
                </c:pt>
                <c:pt idx="11">
                  <c:v>296.52004581901485</c:v>
                </c:pt>
                <c:pt idx="12">
                  <c:v>296.52004581901485</c:v>
                </c:pt>
                <c:pt idx="13">
                  <c:v>296.52004581901485</c:v>
                </c:pt>
                <c:pt idx="14">
                  <c:v>296.52004581901485</c:v>
                </c:pt>
                <c:pt idx="15">
                  <c:v>296.52004581901485</c:v>
                </c:pt>
                <c:pt idx="16">
                  <c:v>296.52004581901485</c:v>
                </c:pt>
                <c:pt idx="17">
                  <c:v>296.52004581901485</c:v>
                </c:pt>
                <c:pt idx="18">
                  <c:v>296</c:v>
                </c:pt>
                <c:pt idx="19">
                  <c:v>294</c:v>
                </c:pt>
              </c:numCache>
            </c:numRef>
          </c:val>
          <c:extLst>
            <c:ext xmlns:c16="http://schemas.microsoft.com/office/drawing/2014/chart" uri="{C3380CC4-5D6E-409C-BE32-E72D297353CC}">
              <c16:uniqueId val="{00000000-85E1-4782-8C46-48D25F16EDB4}"/>
            </c:ext>
          </c:extLst>
        </c:ser>
        <c:ser>
          <c:idx val="1"/>
          <c:order val="1"/>
          <c:tx>
            <c:strRef>
              <c:f>'Graph Data (HIDE)'!$B$45</c:f>
              <c:strCache>
                <c:ptCount val="1"/>
                <c:pt idx="0">
                  <c:v>$/cwt Exposed Risk</c:v>
                </c:pt>
              </c:strCache>
            </c:strRef>
          </c:tx>
          <c:invertIfNegative val="0"/>
          <c:cat>
            <c:numRef>
              <c:f>'Graph Data (HIDE)'!$C$43:$V$43</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(HIDE)'!$C$45:$V$45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0.52004581901485381</c:v>
                </c:pt>
                <c:pt idx="19">
                  <c:v>2.5200458190148538</c:v>
                </c:pt>
              </c:numCache>
            </c:numRef>
          </c:val>
          <c:extLst>
            <c:ext xmlns:c16="http://schemas.microsoft.com/office/drawing/2014/chart" uri="{C3380CC4-5D6E-409C-BE32-E72D297353CC}">
              <c16:uniqueId val="{00000001-85E1-4782-8C46-48D25F16EDB4}"/>
            </c:ext>
          </c:extLst>
        </c:ser>
        <c:ser>
          <c:idx val="2"/>
          <c:order val="2"/>
          <c:tx>
            <c:strRef>
              <c:f>'Graph Data (HIDE)'!$B$46</c:f>
              <c:strCache>
                <c:ptCount val="1"/>
                <c:pt idx="0">
                  <c:v>$/cwt Reward @ Est. Mkt. Price $320/cwt</c:v>
                </c:pt>
              </c:strCache>
            </c:strRef>
          </c:tx>
          <c:invertIfNegative val="0"/>
          <c:cat>
            <c:numRef>
              <c:f>'Graph Data (HIDE)'!$C$43:$V$43</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(HIDE)'!$C$46:$V$46</c:f>
              <c:numCache>
                <c:formatCode>"$"#,##0.00</c:formatCode>
                <c:ptCount val="20"/>
                <c:pt idx="0">
                  <c:v>23.479954180985146</c:v>
                </c:pt>
                <c:pt idx="1">
                  <c:v>23.479954180985146</c:v>
                </c:pt>
                <c:pt idx="2">
                  <c:v>23.479954180985146</c:v>
                </c:pt>
                <c:pt idx="3">
                  <c:v>23.479954180985146</c:v>
                </c:pt>
                <c:pt idx="4">
                  <c:v>23.479954180985146</c:v>
                </c:pt>
                <c:pt idx="5">
                  <c:v>23.479954180985146</c:v>
                </c:pt>
                <c:pt idx="6">
                  <c:v>23.479954180985146</c:v>
                </c:pt>
                <c:pt idx="7">
                  <c:v>23.479954180985146</c:v>
                </c:pt>
                <c:pt idx="8">
                  <c:v>23.479954180985146</c:v>
                </c:pt>
                <c:pt idx="9">
                  <c:v>23.479954180985146</c:v>
                </c:pt>
                <c:pt idx="10">
                  <c:v>23.479954180985146</c:v>
                </c:pt>
                <c:pt idx="11">
                  <c:v>23.479954180985146</c:v>
                </c:pt>
                <c:pt idx="12">
                  <c:v>23.479954180985146</c:v>
                </c:pt>
                <c:pt idx="13">
                  <c:v>23.479954180985146</c:v>
                </c:pt>
                <c:pt idx="14">
                  <c:v>23.479954180985146</c:v>
                </c:pt>
                <c:pt idx="15">
                  <c:v>23.479954180985146</c:v>
                </c:pt>
                <c:pt idx="16">
                  <c:v>23.479954180985146</c:v>
                </c:pt>
                <c:pt idx="17">
                  <c:v>23.479954180985146</c:v>
                </c:pt>
                <c:pt idx="18">
                  <c:v>23.479954180985146</c:v>
                </c:pt>
                <c:pt idx="19">
                  <c:v>23.479954180985146</c:v>
                </c:pt>
              </c:numCache>
            </c:numRef>
          </c:val>
          <c:extLst>
            <c:ext xmlns:c16="http://schemas.microsoft.com/office/drawing/2014/chart" uri="{C3380CC4-5D6E-409C-BE32-E72D297353CC}">
              <c16:uniqueId val="{00000002-85E1-4782-8C46-48D25F16EDB4}"/>
            </c:ext>
          </c:extLst>
        </c:ser>
        <c:dLbls>
          <c:showLegendKey val="0"/>
          <c:showVal val="0"/>
          <c:showCatName val="0"/>
          <c:showSerName val="0"/>
          <c:showPercent val="0"/>
          <c:showBubbleSize val="0"/>
        </c:dLbls>
        <c:gapWidth val="75"/>
        <c:overlap val="100"/>
        <c:axId val="215259080"/>
        <c:axId val="1"/>
      </c:barChart>
      <c:catAx>
        <c:axId val="215259080"/>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CA"/>
                  <a:t>Insured Index ($/cwt)</a:t>
                </a:r>
              </a:p>
            </c:rich>
          </c:tx>
          <c:overlay val="0"/>
        </c:title>
        <c:numFmt formatCode="&quot;$&quot;#,##0" sourceLinked="1"/>
        <c:majorTickMark val="none"/>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CA"/>
                  <a:t>$/cwt</a:t>
                </a:r>
              </a:p>
            </c:rich>
          </c:tx>
          <c:overlay val="0"/>
        </c:title>
        <c:numFmt formatCode="&quot;$&quot;#,##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215259080"/>
        <c:crosses val="autoZero"/>
        <c:crossBetween val="between"/>
      </c:valAx>
      <c:spPr>
        <a:solidFill>
          <a:schemeClr val="bg1">
            <a:lumMod val="85000"/>
          </a:schemeClr>
        </a:solidFill>
      </c:spPr>
    </c:plotArea>
    <c:legend>
      <c:legendPos val="b"/>
      <c:layout>
        <c:manualLayout>
          <c:xMode val="edge"/>
          <c:yMode val="edge"/>
          <c:x val="4.2531174188731577E-2"/>
          <c:y val="0.8868864882583205"/>
          <c:w val="0.95124601783089913"/>
          <c:h val="8.3606674493852756E-2"/>
        </c:manualLayout>
      </c:layout>
      <c:overlay val="0"/>
      <c:txPr>
        <a:bodyPr/>
        <a:lstStyle/>
        <a:p>
          <a:pPr>
            <a:defRPr sz="92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(HIDE)'!$B$7</c:f>
          <c:strCache>
            <c:ptCount val="1"/>
            <c:pt idx="0">
              <c:v>LPIP - Per Head</c:v>
            </c:pt>
          </c:strCache>
        </c:strRef>
      </c:tx>
      <c:overlay val="0"/>
      <c:spPr>
        <a:noFill/>
        <a:ln w="25400">
          <a:noFill/>
        </a:ln>
      </c:spPr>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1858812585135718"/>
          <c:y val="9.8316766070245212E-2"/>
          <c:w val="0.83318714907472025"/>
          <c:h val="0.56702389338509629"/>
        </c:manualLayout>
      </c:layout>
      <c:lineChart>
        <c:grouping val="standard"/>
        <c:varyColors val="0"/>
        <c:ser>
          <c:idx val="1"/>
          <c:order val="0"/>
          <c:tx>
            <c:strRef>
              <c:f>'Graph Data (HIDE)'!$B$9</c:f>
              <c:strCache>
                <c:ptCount val="1"/>
                <c:pt idx="0">
                  <c:v>Premium Cost ($/head @ 873 lbs)</c:v>
                </c:pt>
              </c:strCache>
            </c:strRef>
          </c:tx>
          <c:spPr>
            <a:ln w="28575" cap="rnd">
              <a:solidFill>
                <a:schemeClr val="accent2"/>
              </a:solidFill>
              <a:round/>
            </a:ln>
            <a:effectLst/>
          </c:spPr>
          <c:marker>
            <c:symbol val="none"/>
          </c:marker>
          <c:val>
            <c:numRef>
              <c:f>'Graph Data (HIDE)'!$C$9:$V$9</c:f>
              <c:numCache>
                <c:formatCode>"$"#,##0.00</c:formatCode>
                <c:ptCount val="20"/>
                <c:pt idx="0">
                  <c:v>75.427200000000013</c:v>
                </c:pt>
                <c:pt idx="1">
                  <c:v>72.808199999999999</c:v>
                </c:pt>
                <c:pt idx="2">
                  <c:v>70.974900000000005</c:v>
                </c:pt>
                <c:pt idx="3">
                  <c:v>67.744799999999998</c:v>
                </c:pt>
                <c:pt idx="4">
                  <c:v>65.475000000000009</c:v>
                </c:pt>
                <c:pt idx="5">
                  <c:v>63.6417</c:v>
                </c:pt>
                <c:pt idx="6">
                  <c:v>61.371900000000004</c:v>
                </c:pt>
                <c:pt idx="7">
                  <c:v>59.538600000000002</c:v>
                </c:pt>
                <c:pt idx="8">
                  <c:v>57.268799999999999</c:v>
                </c:pt>
                <c:pt idx="9">
                  <c:v>55.173600000000008</c:v>
                </c:pt>
                <c:pt idx="10">
                  <c:v>53.427600000000005</c:v>
                </c:pt>
                <c:pt idx="11">
                  <c:v>50.983200000000004</c:v>
                </c:pt>
                <c:pt idx="12">
                  <c:v>49.149900000000002</c:v>
                </c:pt>
                <c:pt idx="13">
                  <c:v>48.538800000000002</c:v>
                </c:pt>
                <c:pt idx="14">
                  <c:v>46.530900000000003</c:v>
                </c:pt>
                <c:pt idx="15">
                  <c:v>#N/A</c:v>
                </c:pt>
                <c:pt idx="16">
                  <c:v>#N/A</c:v>
                </c:pt>
                <c:pt idx="17">
                  <c:v>#N/A</c:v>
                </c:pt>
                <c:pt idx="18">
                  <c:v>#N/A</c:v>
                </c:pt>
                <c:pt idx="19">
                  <c:v>#N/A</c:v>
                </c:pt>
              </c:numCache>
            </c:numRef>
          </c:val>
          <c:smooth val="0"/>
          <c:extLst>
            <c:ext xmlns:c16="http://schemas.microsoft.com/office/drawing/2014/chart" uri="{C3380CC4-5D6E-409C-BE32-E72D297353CC}">
              <c16:uniqueId val="{00000000-A462-4FE1-9F3D-A59DBDE03044}"/>
            </c:ext>
          </c:extLst>
        </c:ser>
        <c:ser>
          <c:idx val="3"/>
          <c:order val="1"/>
          <c:tx>
            <c:strRef>
              <c:f>'Graph Data (HIDE)'!$B$12</c:f>
              <c:strCache>
                <c:ptCount val="1"/>
                <c:pt idx="0">
                  <c:v>Total Costs per Head (incl. LPIP Premium) Not Covered By the LPIP Insured Value</c:v>
                </c:pt>
              </c:strCache>
            </c:strRef>
          </c:tx>
          <c:spPr>
            <a:ln w="28575" cap="rnd">
              <a:solidFill>
                <a:schemeClr val="accent4"/>
              </a:solidFill>
              <a:round/>
            </a:ln>
            <a:effectLst/>
          </c:spPr>
          <c:marker>
            <c:symbol val="none"/>
          </c:marker>
          <c:val>
            <c:numRef>
              <c:f>'Graph Data (HIDE)'!$C$12:$V$12</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1-A462-4FE1-9F3D-A59DBDE03044}"/>
            </c:ext>
          </c:extLst>
        </c:ser>
        <c:ser>
          <c:idx val="2"/>
          <c:order val="2"/>
          <c:tx>
            <c:strRef>
              <c:f>'Graph Data (HIDE)'!$B$11</c:f>
              <c:strCache>
                <c:ptCount val="1"/>
                <c:pt idx="0">
                  <c:v>LPIP Payment ($/head at Est. Settlement Price = $280/cwt)</c:v>
                </c:pt>
              </c:strCache>
            </c:strRef>
          </c:tx>
          <c:spPr>
            <a:ln w="28575" cap="rnd">
              <a:solidFill>
                <a:schemeClr val="accent3"/>
              </a:solidFill>
              <a:round/>
            </a:ln>
            <a:effectLst/>
          </c:spPr>
          <c:marker>
            <c:symbol val="none"/>
          </c:marker>
          <c:val>
            <c:numRef>
              <c:f>'Graph Data (HIDE)'!$C$11:$V$11</c:f>
              <c:numCache>
                <c:formatCode>"$"#,##0.00</c:formatCode>
                <c:ptCount val="20"/>
                <c:pt idx="0">
                  <c:v>453.96</c:v>
                </c:pt>
                <c:pt idx="1">
                  <c:v>436.5</c:v>
                </c:pt>
                <c:pt idx="2">
                  <c:v>419.04</c:v>
                </c:pt>
                <c:pt idx="3">
                  <c:v>401.58</c:v>
                </c:pt>
                <c:pt idx="4">
                  <c:v>384.12</c:v>
                </c:pt>
                <c:pt idx="5">
                  <c:v>366.66</c:v>
                </c:pt>
                <c:pt idx="6">
                  <c:v>349.2</c:v>
                </c:pt>
                <c:pt idx="7">
                  <c:v>331.74</c:v>
                </c:pt>
                <c:pt idx="8">
                  <c:v>314.27999999999997</c:v>
                </c:pt>
                <c:pt idx="9">
                  <c:v>296.82</c:v>
                </c:pt>
                <c:pt idx="10">
                  <c:v>279.36</c:v>
                </c:pt>
                <c:pt idx="11">
                  <c:v>261.89999999999998</c:v>
                </c:pt>
                <c:pt idx="12">
                  <c:v>244.44</c:v>
                </c:pt>
                <c:pt idx="13">
                  <c:v>226.98</c:v>
                </c:pt>
                <c:pt idx="14">
                  <c:v>209.52</c:v>
                </c:pt>
                <c:pt idx="15">
                  <c:v>#N/A</c:v>
                </c:pt>
                <c:pt idx="16">
                  <c:v>#N/A</c:v>
                </c:pt>
                <c:pt idx="17">
                  <c:v>#N/A</c:v>
                </c:pt>
                <c:pt idx="18">
                  <c:v>#N/A</c:v>
                </c:pt>
                <c:pt idx="19">
                  <c:v>#N/A</c:v>
                </c:pt>
              </c:numCache>
            </c:numRef>
          </c:val>
          <c:smooth val="0"/>
          <c:extLst>
            <c:ext xmlns:c16="http://schemas.microsoft.com/office/drawing/2014/chart" uri="{C3380CC4-5D6E-409C-BE32-E72D297353CC}">
              <c16:uniqueId val="{00000002-A462-4FE1-9F3D-A59DBDE03044}"/>
            </c:ext>
          </c:extLst>
        </c:ser>
        <c:ser>
          <c:idx val="0"/>
          <c:order val="3"/>
          <c:tx>
            <c:strRef>
              <c:f>'Graph Data (HIDE)'!$B$13</c:f>
              <c:strCache>
                <c:ptCount val="1"/>
                <c:pt idx="0">
                  <c:v>Net Profit (based on Est. Settlement Price @ $280/cwt + LPIP Payment per head)</c:v>
                </c:pt>
              </c:strCache>
            </c:strRef>
          </c:tx>
          <c:spPr>
            <a:ln w="28575" cap="rnd">
              <a:solidFill>
                <a:schemeClr val="accent1"/>
              </a:solidFill>
              <a:round/>
            </a:ln>
            <a:effectLst/>
          </c:spPr>
          <c:marker>
            <c:symbol val="none"/>
          </c:marker>
          <c:cat>
            <c:numRef>
              <c:f>'Graph Data (HIDE)'!$C$8:$V$8</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(HIDE)'!$C$13:$V$13</c:f>
              <c:numCache>
                <c:formatCode>"$"#,##0.00</c:formatCode>
                <c:ptCount val="20"/>
                <c:pt idx="0">
                  <c:v>234.3127999999997</c:v>
                </c:pt>
                <c:pt idx="1">
                  <c:v>219.4717999999998</c:v>
                </c:pt>
                <c:pt idx="2">
                  <c:v>203.84509999999955</c:v>
                </c:pt>
                <c:pt idx="3">
                  <c:v>189.61519999999973</c:v>
                </c:pt>
                <c:pt idx="4">
                  <c:v>174.42499999999973</c:v>
                </c:pt>
                <c:pt idx="5">
                  <c:v>158.79829999999947</c:v>
                </c:pt>
                <c:pt idx="6">
                  <c:v>143.60809999999947</c:v>
                </c:pt>
                <c:pt idx="7">
                  <c:v>127.98139999999967</c:v>
                </c:pt>
                <c:pt idx="8">
                  <c:v>112.79119999999966</c:v>
                </c:pt>
                <c:pt idx="9">
                  <c:v>97.42639999999983</c:v>
                </c:pt>
                <c:pt idx="10">
                  <c:v>81.712399999999889</c:v>
                </c:pt>
                <c:pt idx="11">
                  <c:v>66.696799999999712</c:v>
                </c:pt>
                <c:pt idx="12">
                  <c:v>51.070099999999911</c:v>
                </c:pt>
                <c:pt idx="13">
                  <c:v>34.221199999999953</c:v>
                </c:pt>
                <c:pt idx="14">
                  <c:v>18.769099999999526</c:v>
                </c:pt>
                <c:pt idx="15">
                  <c:v>#N/A</c:v>
                </c:pt>
                <c:pt idx="16">
                  <c:v>#N/A</c:v>
                </c:pt>
                <c:pt idx="17">
                  <c:v>#N/A</c:v>
                </c:pt>
                <c:pt idx="18">
                  <c:v>#N/A</c:v>
                </c:pt>
                <c:pt idx="19">
                  <c:v>#N/A</c:v>
                </c:pt>
              </c:numCache>
            </c:numRef>
          </c:val>
          <c:smooth val="0"/>
          <c:extLst>
            <c:ext xmlns:c16="http://schemas.microsoft.com/office/drawing/2014/chart" uri="{C3380CC4-5D6E-409C-BE32-E72D297353CC}">
              <c16:uniqueId val="{00000003-A462-4FE1-9F3D-A59DBDE03044}"/>
            </c:ext>
          </c:extLst>
        </c:ser>
        <c:ser>
          <c:idx val="4"/>
          <c:order val="4"/>
          <c:tx>
            <c:strRef>
              <c:f>'Graph Data (HIDE)'!$B$14</c:f>
              <c:strCache>
                <c:ptCount val="1"/>
                <c:pt idx="0">
                  <c:v>Marginal Return Over Operating &amp; Fixed Costs (based on Est. Settlement Price @ $280/cwt + LPIP Payment per head)</c:v>
                </c:pt>
              </c:strCache>
            </c:strRef>
          </c:tx>
          <c:spPr>
            <a:ln w="28575" cap="rnd">
              <a:solidFill>
                <a:schemeClr val="accent5"/>
              </a:solidFill>
              <a:round/>
            </a:ln>
            <a:effectLst/>
          </c:spPr>
          <c:marker>
            <c:symbol val="none"/>
          </c:marker>
          <c:val>
            <c:numRef>
              <c:f>'Graph Data (HIDE)'!$C$14:$V$14</c:f>
              <c:numCache>
                <c:formatCode>"$"#,##0.00</c:formatCode>
                <c:ptCount val="20"/>
                <c:pt idx="0">
                  <c:v>261.3127999999997</c:v>
                </c:pt>
                <c:pt idx="1">
                  <c:v>246.4717999999998</c:v>
                </c:pt>
                <c:pt idx="2">
                  <c:v>230.84509999999955</c:v>
                </c:pt>
                <c:pt idx="3">
                  <c:v>216.61519999999973</c:v>
                </c:pt>
                <c:pt idx="4">
                  <c:v>201.42499999999973</c:v>
                </c:pt>
                <c:pt idx="5">
                  <c:v>185.79829999999947</c:v>
                </c:pt>
                <c:pt idx="6">
                  <c:v>170.60809999999947</c:v>
                </c:pt>
                <c:pt idx="7">
                  <c:v>154.98139999999967</c:v>
                </c:pt>
                <c:pt idx="8">
                  <c:v>139.79119999999966</c:v>
                </c:pt>
                <c:pt idx="9">
                  <c:v>124.42639999999983</c:v>
                </c:pt>
                <c:pt idx="10">
                  <c:v>108.71239999999989</c:v>
                </c:pt>
                <c:pt idx="11">
                  <c:v>93.696799999999712</c:v>
                </c:pt>
                <c:pt idx="12">
                  <c:v>78.070099999999911</c:v>
                </c:pt>
                <c:pt idx="13">
                  <c:v>61.221199999999953</c:v>
                </c:pt>
                <c:pt idx="14">
                  <c:v>45.769099999999526</c:v>
                </c:pt>
                <c:pt idx="15">
                  <c:v>#N/A</c:v>
                </c:pt>
                <c:pt idx="16">
                  <c:v>#N/A</c:v>
                </c:pt>
                <c:pt idx="17">
                  <c:v>#N/A</c:v>
                </c:pt>
                <c:pt idx="18">
                  <c:v>#N/A</c:v>
                </c:pt>
                <c:pt idx="19">
                  <c:v>#N/A</c:v>
                </c:pt>
              </c:numCache>
            </c:numRef>
          </c:val>
          <c:smooth val="0"/>
          <c:extLst>
            <c:ext xmlns:c16="http://schemas.microsoft.com/office/drawing/2014/chart" uri="{C3380CC4-5D6E-409C-BE32-E72D297353CC}">
              <c16:uniqueId val="{00000004-A462-4FE1-9F3D-A59DBDE03044}"/>
            </c:ext>
          </c:extLst>
        </c:ser>
        <c:ser>
          <c:idx val="5"/>
          <c:order val="5"/>
          <c:tx>
            <c:strRef>
              <c:f>'Graph Data (HIDE)'!$B$15</c:f>
              <c:strCache>
                <c:ptCount val="1"/>
                <c:pt idx="0">
                  <c:v>Op. &amp; Fixed Costs per Head (incl. LPIP Premium) Not Covered By the LPIP Insured Value</c:v>
                </c:pt>
              </c:strCache>
            </c:strRef>
          </c:tx>
          <c:spPr>
            <a:ln w="28575" cap="rnd">
              <a:solidFill>
                <a:schemeClr val="accent6"/>
              </a:solidFill>
              <a:round/>
            </a:ln>
            <a:effectLst/>
          </c:spPr>
          <c:marker>
            <c:symbol val="none"/>
          </c:marker>
          <c:val>
            <c:numRef>
              <c:f>'Graph Data (HIDE)'!$C$15:$V$15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5-A462-4FE1-9F3D-A59DBDE03044}"/>
            </c:ext>
          </c:extLst>
        </c:ser>
        <c:dLbls>
          <c:showLegendKey val="0"/>
          <c:showVal val="0"/>
          <c:showCatName val="0"/>
          <c:showSerName val="0"/>
          <c:showPercent val="0"/>
          <c:showBubbleSize val="0"/>
        </c:dLbls>
        <c:smooth val="0"/>
        <c:axId val="215265312"/>
        <c:axId val="1"/>
      </c:lineChart>
      <c:catAx>
        <c:axId val="215265312"/>
        <c:scaling>
          <c:orientation val="minMax"/>
        </c:scaling>
        <c:delete val="0"/>
        <c:axPos val="b"/>
        <c:title>
          <c:tx>
            <c:rich>
              <a:bodyPr/>
              <a:lstStyle/>
              <a:p>
                <a:pPr>
                  <a:defRPr sz="1200" b="1" i="0" u="none" strike="noStrike" baseline="0">
                    <a:solidFill>
                      <a:srgbClr val="333333"/>
                    </a:solidFill>
                    <a:latin typeface="Calibri"/>
                    <a:ea typeface="Calibri"/>
                    <a:cs typeface="Calibri"/>
                  </a:defRPr>
                </a:pPr>
                <a:r>
                  <a:rPr lang="en-CA"/>
                  <a:t>Insured Index ($/cwt)</a:t>
                </a:r>
              </a:p>
            </c:rich>
          </c:tx>
          <c:overlay val="0"/>
          <c:spPr>
            <a:noFill/>
            <a:ln w="25400">
              <a:noFill/>
            </a:ln>
          </c:spPr>
        </c:title>
        <c:numFmt formatCode="General" sourceLinked="1"/>
        <c:majorTickMark val="none"/>
        <c:minorTickMark val="none"/>
        <c:tickLblPos val="low"/>
        <c:spPr>
          <a:noFill/>
          <a:ln w="25400"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333333"/>
                    </a:solidFill>
                    <a:latin typeface="Calibri"/>
                    <a:ea typeface="Calibri"/>
                    <a:cs typeface="Calibri"/>
                  </a:defRPr>
                </a:pPr>
                <a:r>
                  <a:rPr lang="en-CA"/>
                  <a:t>$ per Head</a:t>
                </a:r>
              </a:p>
            </c:rich>
          </c:tx>
          <c:overlay val="0"/>
          <c:spPr>
            <a:noFill/>
            <a:ln w="25400">
              <a:noFill/>
            </a:ln>
          </c:spPr>
        </c:title>
        <c:numFmt formatCode="&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15265312"/>
        <c:crosses val="autoZero"/>
        <c:crossBetween val="between"/>
      </c:valAx>
      <c:spPr>
        <a:solidFill>
          <a:schemeClr val="bg1">
            <a:lumMod val="95000"/>
          </a:schemeClr>
        </a:solidFill>
        <a:ln>
          <a:noFill/>
        </a:ln>
        <a:effectLst/>
      </c:spPr>
    </c:plotArea>
    <c:legend>
      <c:legendPos val="r"/>
      <c:layout>
        <c:manualLayout>
          <c:xMode val="edge"/>
          <c:yMode val="edge"/>
          <c:x val="5.3069746007244449E-2"/>
          <c:y val="0.76198216795305473"/>
          <c:w val="0.90218568212315564"/>
          <c:h val="0.20607064919485127"/>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0"/>
    <c:dispBlanksAs val="span"/>
    <c:showDLblsOverMax val="0"/>
  </c:chart>
  <c:spPr>
    <a:solidFill>
      <a:schemeClr val="bg1"/>
    </a:solidFill>
    <a:ln w="12700"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(HIDE)'!$B$7</c:f>
          <c:strCache>
            <c:ptCount val="1"/>
            <c:pt idx="0">
              <c:v>LPIP - Per Head</c:v>
            </c:pt>
          </c:strCache>
        </c:strRef>
      </c:tx>
      <c:overlay val="0"/>
      <c:spPr>
        <a:noFill/>
        <a:ln w="25400">
          <a:noFill/>
        </a:ln>
      </c:spPr>
      <c:txPr>
        <a:bodyPr/>
        <a:lstStyle/>
        <a:p>
          <a:pPr>
            <a:defRPr sz="14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1858812585135718"/>
          <c:y val="9.8316766070245212E-2"/>
          <c:w val="0.83318714907472025"/>
          <c:h val="0.56702389338509629"/>
        </c:manualLayout>
      </c:layout>
      <c:lineChart>
        <c:grouping val="standard"/>
        <c:varyColors val="0"/>
        <c:ser>
          <c:idx val="1"/>
          <c:order val="0"/>
          <c:tx>
            <c:strRef>
              <c:f>'Graph Data (HIDE)'!$B$9</c:f>
              <c:strCache>
                <c:ptCount val="1"/>
                <c:pt idx="0">
                  <c:v>Premium Cost ($/head @ 873 lbs)</c:v>
                </c:pt>
              </c:strCache>
            </c:strRef>
          </c:tx>
          <c:spPr>
            <a:ln w="28575" cap="rnd">
              <a:solidFill>
                <a:schemeClr val="accent2"/>
              </a:solidFill>
              <a:round/>
            </a:ln>
            <a:effectLst/>
          </c:spPr>
          <c:marker>
            <c:symbol val="none"/>
          </c:marker>
          <c:cat>
            <c:numRef>
              <c:f>'Graph Data (HIDE)'!$C$8:$V$8</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(HIDE)'!$C$9:$V$9</c:f>
              <c:numCache>
                <c:formatCode>"$"#,##0.00</c:formatCode>
                <c:ptCount val="20"/>
                <c:pt idx="0">
                  <c:v>75.427200000000013</c:v>
                </c:pt>
                <c:pt idx="1">
                  <c:v>72.808199999999999</c:v>
                </c:pt>
                <c:pt idx="2">
                  <c:v>70.974900000000005</c:v>
                </c:pt>
                <c:pt idx="3">
                  <c:v>67.744799999999998</c:v>
                </c:pt>
                <c:pt idx="4">
                  <c:v>65.475000000000009</c:v>
                </c:pt>
                <c:pt idx="5">
                  <c:v>63.6417</c:v>
                </c:pt>
                <c:pt idx="6">
                  <c:v>61.371900000000004</c:v>
                </c:pt>
                <c:pt idx="7">
                  <c:v>59.538600000000002</c:v>
                </c:pt>
                <c:pt idx="8">
                  <c:v>57.268799999999999</c:v>
                </c:pt>
                <c:pt idx="9">
                  <c:v>55.173600000000008</c:v>
                </c:pt>
                <c:pt idx="10">
                  <c:v>53.427600000000005</c:v>
                </c:pt>
                <c:pt idx="11">
                  <c:v>50.983200000000004</c:v>
                </c:pt>
                <c:pt idx="12">
                  <c:v>49.149900000000002</c:v>
                </c:pt>
                <c:pt idx="13">
                  <c:v>48.538800000000002</c:v>
                </c:pt>
                <c:pt idx="14">
                  <c:v>46.530900000000003</c:v>
                </c:pt>
                <c:pt idx="15">
                  <c:v>#N/A</c:v>
                </c:pt>
                <c:pt idx="16">
                  <c:v>#N/A</c:v>
                </c:pt>
                <c:pt idx="17">
                  <c:v>#N/A</c:v>
                </c:pt>
                <c:pt idx="18">
                  <c:v>#N/A</c:v>
                </c:pt>
                <c:pt idx="19">
                  <c:v>#N/A</c:v>
                </c:pt>
              </c:numCache>
            </c:numRef>
          </c:val>
          <c:smooth val="0"/>
          <c:extLst>
            <c:ext xmlns:c16="http://schemas.microsoft.com/office/drawing/2014/chart" uri="{C3380CC4-5D6E-409C-BE32-E72D297353CC}">
              <c16:uniqueId val="{00000000-0186-462C-89A0-735E12F9E3FB}"/>
            </c:ext>
          </c:extLst>
        </c:ser>
        <c:ser>
          <c:idx val="2"/>
          <c:order val="1"/>
          <c:tx>
            <c:strRef>
              <c:f>'Graph Data (HIDE)'!$B$11</c:f>
              <c:strCache>
                <c:ptCount val="1"/>
                <c:pt idx="0">
                  <c:v>LPIP Payment ($/head at Est. Settlement Price = $280/cwt)</c:v>
                </c:pt>
              </c:strCache>
            </c:strRef>
          </c:tx>
          <c:spPr>
            <a:ln w="28575" cap="rnd">
              <a:solidFill>
                <a:schemeClr val="accent3"/>
              </a:solidFill>
              <a:round/>
            </a:ln>
            <a:effectLst/>
          </c:spPr>
          <c:marker>
            <c:symbol val="none"/>
          </c:marker>
          <c:cat>
            <c:numRef>
              <c:f>'Graph Data (HIDE)'!$C$8:$V$8</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(HIDE)'!$C$11:$V$11</c:f>
              <c:numCache>
                <c:formatCode>"$"#,##0.00</c:formatCode>
                <c:ptCount val="20"/>
                <c:pt idx="0">
                  <c:v>453.96</c:v>
                </c:pt>
                <c:pt idx="1">
                  <c:v>436.5</c:v>
                </c:pt>
                <c:pt idx="2">
                  <c:v>419.04</c:v>
                </c:pt>
                <c:pt idx="3">
                  <c:v>401.58</c:v>
                </c:pt>
                <c:pt idx="4">
                  <c:v>384.12</c:v>
                </c:pt>
                <c:pt idx="5">
                  <c:v>366.66</c:v>
                </c:pt>
                <c:pt idx="6">
                  <c:v>349.2</c:v>
                </c:pt>
                <c:pt idx="7">
                  <c:v>331.74</c:v>
                </c:pt>
                <c:pt idx="8">
                  <c:v>314.27999999999997</c:v>
                </c:pt>
                <c:pt idx="9">
                  <c:v>296.82</c:v>
                </c:pt>
                <c:pt idx="10">
                  <c:v>279.36</c:v>
                </c:pt>
                <c:pt idx="11">
                  <c:v>261.89999999999998</c:v>
                </c:pt>
                <c:pt idx="12">
                  <c:v>244.44</c:v>
                </c:pt>
                <c:pt idx="13">
                  <c:v>226.98</c:v>
                </c:pt>
                <c:pt idx="14">
                  <c:v>209.52</c:v>
                </c:pt>
                <c:pt idx="15">
                  <c:v>#N/A</c:v>
                </c:pt>
                <c:pt idx="16">
                  <c:v>#N/A</c:v>
                </c:pt>
                <c:pt idx="17">
                  <c:v>#N/A</c:v>
                </c:pt>
                <c:pt idx="18">
                  <c:v>#N/A</c:v>
                </c:pt>
                <c:pt idx="19">
                  <c:v>#N/A</c:v>
                </c:pt>
              </c:numCache>
            </c:numRef>
          </c:val>
          <c:smooth val="0"/>
          <c:extLst>
            <c:ext xmlns:c16="http://schemas.microsoft.com/office/drawing/2014/chart" uri="{C3380CC4-5D6E-409C-BE32-E72D297353CC}">
              <c16:uniqueId val="{00000001-0186-462C-89A0-735E12F9E3FB}"/>
            </c:ext>
          </c:extLst>
        </c:ser>
        <c:ser>
          <c:idx val="4"/>
          <c:order val="2"/>
          <c:tx>
            <c:strRef>
              <c:f>'Graph Data (HIDE)'!$B$14</c:f>
              <c:strCache>
                <c:ptCount val="1"/>
                <c:pt idx="0">
                  <c:v>Marginal Return Over Operating &amp; Fixed Costs (based on Est. Settlement Price @ $280/cwt + LPIP Payment per head)</c:v>
                </c:pt>
              </c:strCache>
            </c:strRef>
          </c:tx>
          <c:spPr>
            <a:ln w="28575" cap="rnd">
              <a:solidFill>
                <a:schemeClr val="accent5"/>
              </a:solidFill>
              <a:round/>
            </a:ln>
            <a:effectLst/>
          </c:spPr>
          <c:marker>
            <c:symbol val="none"/>
          </c:marker>
          <c:cat>
            <c:numRef>
              <c:f>'Graph Data (HIDE)'!$C$8:$V$8</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(HIDE)'!$C$14:$V$14</c:f>
              <c:numCache>
                <c:formatCode>"$"#,##0.00</c:formatCode>
                <c:ptCount val="20"/>
                <c:pt idx="0">
                  <c:v>261.3127999999997</c:v>
                </c:pt>
                <c:pt idx="1">
                  <c:v>246.4717999999998</c:v>
                </c:pt>
                <c:pt idx="2">
                  <c:v>230.84509999999955</c:v>
                </c:pt>
                <c:pt idx="3">
                  <c:v>216.61519999999973</c:v>
                </c:pt>
                <c:pt idx="4">
                  <c:v>201.42499999999973</c:v>
                </c:pt>
                <c:pt idx="5">
                  <c:v>185.79829999999947</c:v>
                </c:pt>
                <c:pt idx="6">
                  <c:v>170.60809999999947</c:v>
                </c:pt>
                <c:pt idx="7">
                  <c:v>154.98139999999967</c:v>
                </c:pt>
                <c:pt idx="8">
                  <c:v>139.79119999999966</c:v>
                </c:pt>
                <c:pt idx="9">
                  <c:v>124.42639999999983</c:v>
                </c:pt>
                <c:pt idx="10">
                  <c:v>108.71239999999989</c:v>
                </c:pt>
                <c:pt idx="11">
                  <c:v>93.696799999999712</c:v>
                </c:pt>
                <c:pt idx="12">
                  <c:v>78.070099999999911</c:v>
                </c:pt>
                <c:pt idx="13">
                  <c:v>61.221199999999953</c:v>
                </c:pt>
                <c:pt idx="14">
                  <c:v>45.769099999999526</c:v>
                </c:pt>
                <c:pt idx="15">
                  <c:v>#N/A</c:v>
                </c:pt>
                <c:pt idx="16">
                  <c:v>#N/A</c:v>
                </c:pt>
                <c:pt idx="17">
                  <c:v>#N/A</c:v>
                </c:pt>
                <c:pt idx="18">
                  <c:v>#N/A</c:v>
                </c:pt>
                <c:pt idx="19">
                  <c:v>#N/A</c:v>
                </c:pt>
              </c:numCache>
            </c:numRef>
          </c:val>
          <c:smooth val="0"/>
          <c:extLst>
            <c:ext xmlns:c16="http://schemas.microsoft.com/office/drawing/2014/chart" uri="{C3380CC4-5D6E-409C-BE32-E72D297353CC}">
              <c16:uniqueId val="{00000002-0186-462C-89A0-735E12F9E3FB}"/>
            </c:ext>
          </c:extLst>
        </c:ser>
        <c:ser>
          <c:idx val="5"/>
          <c:order val="3"/>
          <c:tx>
            <c:strRef>
              <c:f>'Graph Data (HIDE)'!$B$15</c:f>
              <c:strCache>
                <c:ptCount val="1"/>
                <c:pt idx="0">
                  <c:v>Op. &amp; Fixed Costs per Head (incl. LPIP Premium) Not Covered By the LPIP Insured Value</c:v>
                </c:pt>
              </c:strCache>
            </c:strRef>
          </c:tx>
          <c:spPr>
            <a:ln w="28575" cap="rnd">
              <a:solidFill>
                <a:schemeClr val="accent6"/>
              </a:solidFill>
              <a:round/>
            </a:ln>
            <a:effectLst/>
          </c:spPr>
          <c:marker>
            <c:symbol val="none"/>
          </c:marker>
          <c:cat>
            <c:numRef>
              <c:f>'Graph Data (HIDE)'!$C$8:$V$8</c:f>
              <c:numCache>
                <c:formatCode>"$"#,##0</c:formatCode>
                <c:ptCount val="20"/>
                <c:pt idx="0">
                  <c:v>332</c:v>
                </c:pt>
                <c:pt idx="1">
                  <c:v>330</c:v>
                </c:pt>
                <c:pt idx="2">
                  <c:v>328</c:v>
                </c:pt>
                <c:pt idx="3">
                  <c:v>326</c:v>
                </c:pt>
                <c:pt idx="4">
                  <c:v>324</c:v>
                </c:pt>
                <c:pt idx="5">
                  <c:v>322</c:v>
                </c:pt>
                <c:pt idx="6">
                  <c:v>320</c:v>
                </c:pt>
                <c:pt idx="7">
                  <c:v>318</c:v>
                </c:pt>
                <c:pt idx="8">
                  <c:v>316</c:v>
                </c:pt>
                <c:pt idx="9">
                  <c:v>314</c:v>
                </c:pt>
                <c:pt idx="10">
                  <c:v>312</c:v>
                </c:pt>
                <c:pt idx="11">
                  <c:v>310</c:v>
                </c:pt>
                <c:pt idx="12">
                  <c:v>308</c:v>
                </c:pt>
                <c:pt idx="13">
                  <c:v>306</c:v>
                </c:pt>
                <c:pt idx="14">
                  <c:v>304</c:v>
                </c:pt>
                <c:pt idx="15">
                  <c:v>302</c:v>
                </c:pt>
                <c:pt idx="16">
                  <c:v>300</c:v>
                </c:pt>
                <c:pt idx="17">
                  <c:v>298</c:v>
                </c:pt>
                <c:pt idx="18">
                  <c:v>296</c:v>
                </c:pt>
                <c:pt idx="19">
                  <c:v>294</c:v>
                </c:pt>
              </c:numCache>
            </c:numRef>
          </c:cat>
          <c:val>
            <c:numRef>
              <c:f>'Graph Data (HIDE)'!$C$15:$V$15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3-0186-462C-89A0-735E12F9E3FB}"/>
            </c:ext>
          </c:extLst>
        </c:ser>
        <c:dLbls>
          <c:showLegendKey val="0"/>
          <c:showVal val="0"/>
          <c:showCatName val="0"/>
          <c:showSerName val="0"/>
          <c:showPercent val="0"/>
          <c:showBubbleSize val="0"/>
        </c:dLbls>
        <c:smooth val="0"/>
        <c:axId val="215264656"/>
        <c:axId val="1"/>
      </c:lineChart>
      <c:catAx>
        <c:axId val="215264656"/>
        <c:scaling>
          <c:orientation val="minMax"/>
        </c:scaling>
        <c:delete val="0"/>
        <c:axPos val="b"/>
        <c:title>
          <c:tx>
            <c:rich>
              <a:bodyPr/>
              <a:lstStyle/>
              <a:p>
                <a:pPr>
                  <a:defRPr sz="1200" b="1" i="0" u="none" strike="noStrike" baseline="0">
                    <a:solidFill>
                      <a:srgbClr val="333333"/>
                    </a:solidFill>
                    <a:latin typeface="Calibri"/>
                    <a:ea typeface="Calibri"/>
                    <a:cs typeface="Calibri"/>
                  </a:defRPr>
                </a:pPr>
                <a:r>
                  <a:rPr lang="en-CA"/>
                  <a:t>Insured Index ($/cwt)</a:t>
                </a:r>
              </a:p>
            </c:rich>
          </c:tx>
          <c:overlay val="0"/>
          <c:spPr>
            <a:noFill/>
            <a:ln w="25400">
              <a:noFill/>
            </a:ln>
          </c:spPr>
        </c:title>
        <c:numFmt formatCode="&quot;$&quot;#,##0" sourceLinked="1"/>
        <c:majorTickMark val="none"/>
        <c:minorTickMark val="none"/>
        <c:tickLblPos val="low"/>
        <c:spPr>
          <a:noFill/>
          <a:ln w="25400"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333333"/>
                    </a:solidFill>
                    <a:latin typeface="Calibri"/>
                    <a:ea typeface="Calibri"/>
                    <a:cs typeface="Calibri"/>
                  </a:defRPr>
                </a:pPr>
                <a:r>
                  <a:rPr lang="en-CA"/>
                  <a:t>$ per Head</a:t>
                </a:r>
              </a:p>
            </c:rich>
          </c:tx>
          <c:overlay val="0"/>
          <c:spPr>
            <a:noFill/>
            <a:ln w="25400">
              <a:noFill/>
            </a:ln>
          </c:spPr>
        </c:title>
        <c:numFmt formatCode="&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215264656"/>
        <c:crosses val="autoZero"/>
        <c:crossBetween val="between"/>
      </c:valAx>
      <c:spPr>
        <a:solidFill>
          <a:schemeClr val="bg1">
            <a:lumMod val="95000"/>
          </a:schemeClr>
        </a:solidFill>
        <a:ln>
          <a:noFill/>
        </a:ln>
        <a:effectLst/>
      </c:spPr>
    </c:plotArea>
    <c:legend>
      <c:legendPos val="r"/>
      <c:layout>
        <c:manualLayout>
          <c:xMode val="edge"/>
          <c:yMode val="edge"/>
          <c:x val="5.2742670365521133E-2"/>
          <c:y val="0.7686920272639064"/>
          <c:w val="0.89978995643579052"/>
          <c:h val="0.20560759391861327"/>
        </c:manualLayout>
      </c:layout>
      <c:overlay val="0"/>
      <c:spPr>
        <a:noFill/>
        <a:ln w="25400">
          <a:noFill/>
        </a:ln>
      </c:spPr>
      <c:txPr>
        <a:bodyPr/>
        <a:lstStyle/>
        <a:p>
          <a:pPr>
            <a:defRPr sz="755" b="0" i="0" u="none" strike="noStrike" baseline="0">
              <a:solidFill>
                <a:srgbClr val="333333"/>
              </a:solidFill>
              <a:latin typeface="Calibri"/>
              <a:ea typeface="Calibri"/>
              <a:cs typeface="Calibri"/>
            </a:defRPr>
          </a:pPr>
          <a:endParaRPr lang="en-US"/>
        </a:p>
      </c:txPr>
    </c:legend>
    <c:plotVisOnly val="0"/>
    <c:dispBlanksAs val="span"/>
    <c:showDLblsOverMax val="0"/>
  </c:chart>
  <c:spPr>
    <a:solidFill>
      <a:schemeClr val="bg1"/>
    </a:solidFill>
    <a:ln w="12700"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User Guide'!A5"/><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hyperlink" Target="#'Cost of Production'!A1"/><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10" Type="http://schemas.openxmlformats.org/officeDocument/2006/relationships/image" Target="../media/image2.JPG"/><Relationship Id="rId4" Type="http://schemas.openxmlformats.org/officeDocument/2006/relationships/chart" Target="../charts/chart2.xml"/><Relationship Id="rId9" Type="http://schemas.openxmlformats.org/officeDocument/2006/relationships/hyperlink" Target="https://www.gov.mb.ca/agriculture/farm-management/farm-business-management-contacts.html" TargetMode="External"/></Relationships>
</file>

<file path=xl/drawings/_rels/drawing10.xml.rels><?xml version="1.0" encoding="UTF-8" standalone="yes"?>
<Relationships xmlns="http://schemas.openxmlformats.org/package/2006/relationships"><Relationship Id="rId3" Type="http://schemas.openxmlformats.org/officeDocument/2006/relationships/hyperlink" Target="mailto:mbfarmbusiness@gov.mb.ca" TargetMode="External"/><Relationship Id="rId2" Type="http://schemas.openxmlformats.org/officeDocument/2006/relationships/hyperlink" Target="http://www.gov.mb.ca/agriculture/contact/index.html" TargetMode="External"/><Relationship Id="rId1" Type="http://schemas.openxmlformats.org/officeDocument/2006/relationships/image" Target="../media/image1.jpeg"/><Relationship Id="rId5" Type="http://schemas.openxmlformats.org/officeDocument/2006/relationships/hyperlink" Target="#'Cost of Production'!A1"/><Relationship Id="rId4" Type="http://schemas.openxmlformats.org/officeDocument/2006/relationships/hyperlink" Target="http://www.gov.mb.ca/agriculture/business-and-economics/farm-business-management-contacts.html"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 LPI Calculator'!C9"/></Relationships>
</file>

<file path=xl/drawings/_rels/drawing8.xml.rels><?xml version="1.0" encoding="UTF-8" standalone="yes"?>
<Relationships xmlns="http://schemas.openxmlformats.org/package/2006/relationships"><Relationship Id="rId3" Type="http://schemas.openxmlformats.org/officeDocument/2006/relationships/hyperlink" Target="https://www.gov.mb.ca/agriculture/farm-management/cost-production/index.html#Livestock" TargetMode="External"/><Relationship Id="rId2" Type="http://schemas.openxmlformats.org/officeDocument/2006/relationships/hyperlink" Target="#'User Guide'!A5"/><Relationship Id="rId1" Type="http://schemas.openxmlformats.org/officeDocument/2006/relationships/hyperlink" Target="#' WLPIP Calculator'!A1"/></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18</xdr:col>
      <xdr:colOff>693420</xdr:colOff>
      <xdr:row>0</xdr:row>
      <xdr:rowOff>114300</xdr:rowOff>
    </xdr:from>
    <xdr:to>
      <xdr:col>21</xdr:col>
      <xdr:colOff>518160</xdr:colOff>
      <xdr:row>1</xdr:row>
      <xdr:rowOff>198120</xdr:rowOff>
    </xdr:to>
    <xdr:pic>
      <xdr:nvPicPr>
        <xdr:cNvPr id="1296467" name="Picture 6" descr="Government of Manitoba logo..">
          <a:extLst>
            <a:ext uri="{FF2B5EF4-FFF2-40B4-BE49-F238E27FC236}">
              <a16:creationId xmlns:a16="http://schemas.microsoft.com/office/drawing/2014/main" id="{00000000-0008-0000-0000-000053C81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73300" y="114300"/>
          <a:ext cx="201930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300991</xdr:colOff>
      <xdr:row>14</xdr:row>
      <xdr:rowOff>92872</xdr:rowOff>
    </xdr:from>
    <xdr:to>
      <xdr:col>10</xdr:col>
      <xdr:colOff>648182</xdr:colOff>
      <xdr:row>15</xdr:row>
      <xdr:rowOff>142876</xdr:rowOff>
    </xdr:to>
    <xdr:sp macro="" textlink="">
      <xdr:nvSpPr>
        <xdr:cNvPr id="8" name="TextBox 7">
          <a:hlinkClick xmlns:r="http://schemas.openxmlformats.org/officeDocument/2006/relationships" r:id="rId2" tooltip="Click here to go to the cow calf cost worksheet."/>
          <a:extLst>
            <a:ext uri="{FF2B5EF4-FFF2-40B4-BE49-F238E27FC236}">
              <a16:creationId xmlns:a16="http://schemas.microsoft.com/office/drawing/2014/main" id="{00000000-0008-0000-0000-000008000000}"/>
            </a:ext>
          </a:extLst>
        </xdr:cNvPr>
        <xdr:cNvSpPr txBox="1"/>
      </xdr:nvSpPr>
      <xdr:spPr>
        <a:xfrm>
          <a:off x="5207795" y="3009903"/>
          <a:ext cx="4105274" cy="276223"/>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mn-cs"/>
            </a:rPr>
            <a:t>Click here to enter</a:t>
          </a:r>
          <a:r>
            <a:rPr lang="en-CA" sz="1200" b="1" i="0" u="sng" baseline="0">
              <a:solidFill>
                <a:srgbClr val="0000FF"/>
              </a:solidFill>
              <a:effectLst/>
              <a:latin typeface="Arial" panose="020B0604020202020204" pitchFamily="34" charset="0"/>
              <a:ea typeface="+mn-ea"/>
              <a:cs typeface="+mn-cs"/>
            </a:rPr>
            <a:t> your c</a:t>
          </a:r>
          <a:r>
            <a:rPr lang="en-CA" sz="1200" b="1" i="0" u="sng">
              <a:solidFill>
                <a:srgbClr val="0000FF"/>
              </a:solidFill>
              <a:effectLst/>
              <a:latin typeface="Arial" panose="020B0604020202020204" pitchFamily="34" charset="0"/>
              <a:ea typeface="+mn-ea"/>
              <a:cs typeface="+mn-cs"/>
            </a:rPr>
            <a:t>ow-calf production costs</a:t>
          </a:r>
          <a:endParaRPr lang="en-CA" sz="1200" b="1">
            <a:latin typeface="Arial" pitchFamily="34" charset="0"/>
            <a:cs typeface="Arial" pitchFamily="34" charset="0"/>
          </a:endParaRPr>
        </a:p>
      </xdr:txBody>
    </xdr:sp>
    <xdr:clientData/>
  </xdr:twoCellAnchor>
  <xdr:twoCellAnchor>
    <xdr:from>
      <xdr:col>0</xdr:col>
      <xdr:colOff>0</xdr:colOff>
      <xdr:row>64</xdr:row>
      <xdr:rowOff>0</xdr:rowOff>
    </xdr:from>
    <xdr:to>
      <xdr:col>5</xdr:col>
      <xdr:colOff>723900</xdr:colOff>
      <xdr:row>84</xdr:row>
      <xdr:rowOff>213360</xdr:rowOff>
    </xdr:to>
    <xdr:graphicFrame macro="">
      <xdr:nvGraphicFramePr>
        <xdr:cNvPr id="1296471" name="Chart 2" descr="Costsnot covered by LPI insured value chart.">
          <a:extLst>
            <a:ext uri="{FF2B5EF4-FFF2-40B4-BE49-F238E27FC236}">
              <a16:creationId xmlns:a16="http://schemas.microsoft.com/office/drawing/2014/main" id="{00000000-0008-0000-0000-000057C8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502920</xdr:colOff>
      <xdr:row>64</xdr:row>
      <xdr:rowOff>7620</xdr:rowOff>
    </xdr:from>
    <xdr:to>
      <xdr:col>21</xdr:col>
      <xdr:colOff>601980</xdr:colOff>
      <xdr:row>85</xdr:row>
      <xdr:rowOff>7620</xdr:rowOff>
    </xdr:to>
    <xdr:graphicFrame macro="">
      <xdr:nvGraphicFramePr>
        <xdr:cNvPr id="1296472" name="Chart 4" descr="LPI insured value analysis graph.">
          <a:extLst>
            <a:ext uri="{FF2B5EF4-FFF2-40B4-BE49-F238E27FC236}">
              <a16:creationId xmlns:a16="http://schemas.microsoft.com/office/drawing/2014/main" id="{00000000-0008-0000-0000-000058C8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441960</xdr:colOff>
      <xdr:row>64</xdr:row>
      <xdr:rowOff>7620</xdr:rowOff>
    </xdr:from>
    <xdr:to>
      <xdr:col>13</xdr:col>
      <xdr:colOff>556260</xdr:colOff>
      <xdr:row>84</xdr:row>
      <xdr:rowOff>213360</xdr:rowOff>
    </xdr:to>
    <xdr:graphicFrame macro="">
      <xdr:nvGraphicFramePr>
        <xdr:cNvPr id="1296473" name="Chart 4" descr="LPI risk and reward analysis graph.">
          <a:extLst>
            <a:ext uri="{FF2B5EF4-FFF2-40B4-BE49-F238E27FC236}">
              <a16:creationId xmlns:a16="http://schemas.microsoft.com/office/drawing/2014/main" id="{00000000-0008-0000-0000-000059C8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86</xdr:row>
      <xdr:rowOff>0</xdr:rowOff>
    </xdr:from>
    <xdr:to>
      <xdr:col>8</xdr:col>
      <xdr:colOff>381000</xdr:colOff>
      <xdr:row>107</xdr:row>
      <xdr:rowOff>7620</xdr:rowOff>
    </xdr:to>
    <xdr:graphicFrame macro="">
      <xdr:nvGraphicFramePr>
        <xdr:cNvPr id="1296474" name="Chart 4" descr="LPI cost per head graph.">
          <a:extLst>
            <a:ext uri="{FF2B5EF4-FFF2-40B4-BE49-F238E27FC236}">
              <a16:creationId xmlns:a16="http://schemas.microsoft.com/office/drawing/2014/main" id="{00000000-0008-0000-0000-00005AC8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563880</xdr:colOff>
      <xdr:row>86</xdr:row>
      <xdr:rowOff>0</xdr:rowOff>
    </xdr:from>
    <xdr:to>
      <xdr:col>21</xdr:col>
      <xdr:colOff>594360</xdr:colOff>
      <xdr:row>107</xdr:row>
      <xdr:rowOff>7620</xdr:rowOff>
    </xdr:to>
    <xdr:graphicFrame macro="">
      <xdr:nvGraphicFramePr>
        <xdr:cNvPr id="1296475" name="Chart 2" descr="LPI monetizing risk and reward in dollars per hundredweight graph.">
          <a:extLst>
            <a:ext uri="{FF2B5EF4-FFF2-40B4-BE49-F238E27FC236}">
              <a16:creationId xmlns:a16="http://schemas.microsoft.com/office/drawing/2014/main" id="{00000000-0008-0000-0000-00005BC8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59532</xdr:colOff>
      <xdr:row>6</xdr:row>
      <xdr:rowOff>11906</xdr:rowOff>
    </xdr:from>
    <xdr:to>
      <xdr:col>2</xdr:col>
      <xdr:colOff>66675</xdr:colOff>
      <xdr:row>7</xdr:row>
      <xdr:rowOff>70960</xdr:rowOff>
    </xdr:to>
    <xdr:sp macro="" textlink="">
      <xdr:nvSpPr>
        <xdr:cNvPr id="12" name="TextBox 11">
          <a:hlinkClick xmlns:r="http://schemas.openxmlformats.org/officeDocument/2006/relationships" r:id="rId8"/>
          <a:extLst>
            <a:ext uri="{FF2B5EF4-FFF2-40B4-BE49-F238E27FC236}">
              <a16:creationId xmlns:a16="http://schemas.microsoft.com/office/drawing/2014/main" id="{00000000-0008-0000-0000-00000C000000}"/>
            </a:ext>
          </a:extLst>
        </xdr:cNvPr>
        <xdr:cNvSpPr txBox="1"/>
      </xdr:nvSpPr>
      <xdr:spPr>
        <a:xfrm>
          <a:off x="59532" y="1373981"/>
          <a:ext cx="2645568" cy="287654"/>
        </a:xfrm>
        <a:prstGeom prst="rect">
          <a:avLst/>
        </a:prstGeom>
        <a:solidFill>
          <a:schemeClr val="lt1"/>
        </a:solidFill>
        <a:ln w="12700" cmpd="sng">
          <a:solidFill>
            <a:schemeClr val="lt1">
              <a:shade val="50000"/>
            </a:schemeClr>
          </a:solidFill>
        </a:ln>
        <a:effectLst>
          <a:outerShdw blurRad="50800" dist="50800" dir="5400000" algn="ctr" rotWithShape="0">
            <a:schemeClr val="bg1">
              <a:lumMod val="65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en-CA" sz="1200" b="1" u="sng" baseline="0">
              <a:solidFill>
                <a:srgbClr val="0000FF"/>
              </a:solidFill>
              <a:latin typeface="Arial" pitchFamily="34" charset="0"/>
              <a:cs typeface="Arial" pitchFamily="34" charset="0"/>
            </a:rPr>
            <a:t>Click here to go to User Guide </a:t>
          </a:r>
        </a:p>
        <a:p>
          <a:endParaRPr lang="en-CA" sz="1200" b="1" u="sng" baseline="0">
            <a:solidFill>
              <a:srgbClr val="0000FF"/>
            </a:solidFill>
            <a:latin typeface="Arial" pitchFamily="34" charset="0"/>
            <a:cs typeface="Arial" pitchFamily="34" charset="0"/>
          </a:endParaRPr>
        </a:p>
      </xdr:txBody>
    </xdr:sp>
    <xdr:clientData/>
  </xdr:twoCellAnchor>
  <xdr:twoCellAnchor>
    <xdr:from>
      <xdr:col>5</xdr:col>
      <xdr:colOff>306230</xdr:colOff>
      <xdr:row>14</xdr:row>
      <xdr:rowOff>78108</xdr:rowOff>
    </xdr:from>
    <xdr:to>
      <xdr:col>11</xdr:col>
      <xdr:colOff>311530</xdr:colOff>
      <xdr:row>15</xdr:row>
      <xdr:rowOff>177591</xdr:rowOff>
    </xdr:to>
    <xdr:sp macro="" textlink="">
      <xdr:nvSpPr>
        <xdr:cNvPr id="15" name="TextBox 14">
          <a:hlinkClick xmlns:r="http://schemas.openxmlformats.org/officeDocument/2006/relationships" r:id="rId2" tooltip="Click here to go to the backgrounding production cost worksheet."/>
          <a:extLst>
            <a:ext uri="{FF2B5EF4-FFF2-40B4-BE49-F238E27FC236}">
              <a16:creationId xmlns:a16="http://schemas.microsoft.com/office/drawing/2014/main" id="{00000000-0008-0000-0000-00000F000000}"/>
            </a:ext>
          </a:extLst>
        </xdr:cNvPr>
        <xdr:cNvSpPr txBox="1"/>
      </xdr:nvSpPr>
      <xdr:spPr>
        <a:xfrm>
          <a:off x="5207795" y="3009903"/>
          <a:ext cx="4529666" cy="328083"/>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Arial" panose="020B0604020202020204" pitchFamily="34" charset="0"/>
            </a:rPr>
            <a:t>Click here to enter</a:t>
          </a:r>
          <a:r>
            <a:rPr lang="en-CA" sz="1200" b="1" i="0" u="sng" baseline="0">
              <a:solidFill>
                <a:srgbClr val="0000FF"/>
              </a:solidFill>
              <a:effectLst/>
              <a:latin typeface="Arial" panose="020B0604020202020204" pitchFamily="34" charset="0"/>
              <a:ea typeface="+mn-ea"/>
              <a:cs typeface="Arial" panose="020B0604020202020204" pitchFamily="34" charset="0"/>
            </a:rPr>
            <a:t> your backgrounding</a:t>
          </a:r>
          <a:r>
            <a:rPr lang="en-CA" sz="1200" b="1" i="0" u="sng">
              <a:solidFill>
                <a:srgbClr val="0000FF"/>
              </a:solidFill>
              <a:effectLst/>
              <a:latin typeface="Arial" panose="020B0604020202020204" pitchFamily="34" charset="0"/>
              <a:ea typeface="+mn-ea"/>
              <a:cs typeface="Arial" panose="020B0604020202020204" pitchFamily="34" charset="0"/>
            </a:rPr>
            <a:t> production costs</a:t>
          </a:r>
          <a:endParaRPr lang="en-US" sz="1200">
            <a:solidFill>
              <a:srgbClr val="0000FF"/>
            </a:solidFill>
            <a:effectLst/>
            <a:latin typeface="Arial" panose="020B0604020202020204" pitchFamily="34" charset="0"/>
            <a:cs typeface="Arial" panose="020B0604020202020204" pitchFamily="34" charset="0"/>
          </a:endParaRPr>
        </a:p>
        <a:p>
          <a:endParaRPr lang="en-CA" sz="1200" b="1">
            <a:solidFill>
              <a:srgbClr val="0000FF"/>
            </a:solidFill>
            <a:latin typeface="Arial" pitchFamily="34" charset="0"/>
            <a:cs typeface="Arial" pitchFamily="34" charset="0"/>
          </a:endParaRPr>
        </a:p>
      </xdr:txBody>
    </xdr:sp>
    <xdr:clientData/>
  </xdr:twoCellAnchor>
  <xdr:twoCellAnchor editAs="oneCell">
    <xdr:from>
      <xdr:col>1</xdr:col>
      <xdr:colOff>3175</xdr:colOff>
      <xdr:row>110</xdr:row>
      <xdr:rowOff>46567</xdr:rowOff>
    </xdr:from>
    <xdr:to>
      <xdr:col>3</xdr:col>
      <xdr:colOff>370467</xdr:colOff>
      <xdr:row>113</xdr:row>
      <xdr:rowOff>191823</xdr:rowOff>
    </xdr:to>
    <xdr:pic>
      <xdr:nvPicPr>
        <xdr:cNvPr id="13" name="Picture 12" descr="Contact Us information including a link to Farm Management Specialists listing.">
          <a:hlinkClick xmlns:r="http://schemas.openxmlformats.org/officeDocument/2006/relationships" r:id="rId9" tooltip="Click here for a list of Farm Management contacts."/>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51342" y="22641984"/>
          <a:ext cx="3732792" cy="8437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693420</xdr:colOff>
      <xdr:row>0</xdr:row>
      <xdr:rowOff>114300</xdr:rowOff>
    </xdr:from>
    <xdr:to>
      <xdr:col>21</xdr:col>
      <xdr:colOff>518160</xdr:colOff>
      <xdr:row>1</xdr:row>
      <xdr:rowOff>198120</xdr:rowOff>
    </xdr:to>
    <xdr:pic>
      <xdr:nvPicPr>
        <xdr:cNvPr id="1303608" name="Picture 6" descr="GovMB_Logo_black-1374 10percent.jpg">
          <a:extLst>
            <a:ext uri="{FF2B5EF4-FFF2-40B4-BE49-F238E27FC236}">
              <a16:creationId xmlns:a16="http://schemas.microsoft.com/office/drawing/2014/main" id="{00000000-0008-0000-0400-000038E41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73300" y="114300"/>
          <a:ext cx="201930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20956</xdr:colOff>
      <xdr:row>61</xdr:row>
      <xdr:rowOff>90380</xdr:rowOff>
    </xdr:from>
    <xdr:to>
      <xdr:col>10</xdr:col>
      <xdr:colOff>396230</xdr:colOff>
      <xdr:row>62</xdr:row>
      <xdr:rowOff>153916</xdr:rowOff>
    </xdr:to>
    <xdr:sp macro="" textlink="">
      <xdr:nvSpPr>
        <xdr:cNvPr id="3" name="TextBox 2">
          <a:hlinkClick xmlns:r="http://schemas.openxmlformats.org/officeDocument/2006/relationships" r:id="rId2" tooltip="Click here for list of Manitoba Agriculture office locations"/>
          <a:extLst>
            <a:ext uri="{FF2B5EF4-FFF2-40B4-BE49-F238E27FC236}">
              <a16:creationId xmlns:a16="http://schemas.microsoft.com/office/drawing/2014/main" id="{00000000-0008-0000-0400-000003000000}"/>
            </a:ext>
          </a:extLst>
        </xdr:cNvPr>
        <xdr:cNvSpPr txBox="1"/>
      </xdr:nvSpPr>
      <xdr:spPr>
        <a:xfrm>
          <a:off x="6429376" y="11333690"/>
          <a:ext cx="2638425" cy="284428"/>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200" b="1" i="0" u="sng" baseline="0">
              <a:solidFill>
                <a:srgbClr val="0000FF"/>
              </a:solidFill>
              <a:uFill>
                <a:solidFill>
                  <a:srgbClr val="0000FF"/>
                </a:solidFill>
              </a:uFill>
              <a:latin typeface="Arial" pitchFamily="34" charset="0"/>
              <a:cs typeface="Arial" pitchFamily="34" charset="0"/>
            </a:rPr>
            <a:t>Manitoba Agriculture</a:t>
          </a:r>
          <a:r>
            <a:rPr lang="en-CA" sz="1000" b="1" i="0" u="sng" baseline="0">
              <a:solidFill>
                <a:srgbClr val="0000FF"/>
              </a:solidFill>
              <a:uFill>
                <a:solidFill>
                  <a:srgbClr val="0000FF"/>
                </a:solidFill>
              </a:uFill>
              <a:latin typeface="Arial" pitchFamily="34" charset="0"/>
              <a:cs typeface="Arial" pitchFamily="34" charset="0"/>
            </a:rPr>
            <a:t> </a:t>
          </a:r>
          <a:r>
            <a:rPr lang="en-CA" sz="1200" b="1" i="0" u="sng" baseline="0">
              <a:solidFill>
                <a:srgbClr val="0000FF"/>
              </a:solidFill>
              <a:uFill>
                <a:solidFill>
                  <a:srgbClr val="0000FF"/>
                </a:solidFill>
              </a:uFill>
              <a:latin typeface="Arial" pitchFamily="34" charset="0"/>
              <a:cs typeface="Arial" pitchFamily="34" charset="0"/>
            </a:rPr>
            <a:t>office</a:t>
          </a:r>
          <a:endParaRPr lang="en-CA" sz="1200" b="1" baseline="0">
            <a:latin typeface="Arial" pitchFamily="34" charset="0"/>
            <a:cs typeface="Arial" pitchFamily="34" charset="0"/>
          </a:endParaRPr>
        </a:p>
      </xdr:txBody>
    </xdr:sp>
    <xdr:clientData/>
  </xdr:twoCellAnchor>
  <xdr:twoCellAnchor>
    <xdr:from>
      <xdr:col>4</xdr:col>
      <xdr:colOff>286916</xdr:colOff>
      <xdr:row>62</xdr:row>
      <xdr:rowOff>63556</xdr:rowOff>
    </xdr:from>
    <xdr:to>
      <xdr:col>5</xdr:col>
      <xdr:colOff>377214</xdr:colOff>
      <xdr:row>63</xdr:row>
      <xdr:rowOff>92566</xdr:rowOff>
    </xdr:to>
    <xdr:sp macro="" textlink="">
      <xdr:nvSpPr>
        <xdr:cNvPr id="4" name="TextBox 3">
          <a:hlinkClick xmlns:r="http://schemas.openxmlformats.org/officeDocument/2006/relationships" r:id="rId3" tooltip="Mail to:  mbfarmbusiness@gov.mb.ca - click once to follow."/>
          <a:extLst>
            <a:ext uri="{FF2B5EF4-FFF2-40B4-BE49-F238E27FC236}">
              <a16:creationId xmlns:a16="http://schemas.microsoft.com/office/drawing/2014/main" id="{00000000-0008-0000-0400-000004000000}"/>
            </a:ext>
          </a:extLst>
        </xdr:cNvPr>
        <xdr:cNvSpPr txBox="1"/>
      </xdr:nvSpPr>
      <xdr:spPr>
        <a:xfrm>
          <a:off x="4436006" y="11529751"/>
          <a:ext cx="859894" cy="247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200" b="1" i="0" u="sng" strike="noStrike" baseline="0">
              <a:solidFill>
                <a:schemeClr val="dk1"/>
              </a:solidFill>
              <a:latin typeface="Arial" pitchFamily="34" charset="0"/>
              <a:ea typeface="+mn-ea"/>
              <a:cs typeface="Arial" pitchFamily="34" charset="0"/>
              <a:hlinkClick xmlns:r="http://schemas.openxmlformats.org/officeDocument/2006/relationships" r:id=""/>
            </a:rPr>
            <a:t>email</a:t>
          </a:r>
          <a:r>
            <a:rPr lang="en-CA" sz="1200" b="1" i="0" u="sng" strike="noStrike">
              <a:solidFill>
                <a:schemeClr val="dk1"/>
              </a:solidFill>
              <a:latin typeface="Arial" pitchFamily="34" charset="0"/>
              <a:ea typeface="+mn-ea"/>
              <a:cs typeface="Arial" pitchFamily="34" charset="0"/>
              <a:hlinkClick xmlns:r="http://schemas.openxmlformats.org/officeDocument/2006/relationships" r:id=""/>
            </a:rPr>
            <a:t> us</a:t>
          </a:r>
          <a:r>
            <a:rPr lang="en-CA" sz="1200">
              <a:latin typeface="Arial" pitchFamily="34" charset="0"/>
              <a:cs typeface="Arial" pitchFamily="34" charset="0"/>
            </a:rPr>
            <a:t> </a:t>
          </a:r>
        </a:p>
      </xdr:txBody>
    </xdr:sp>
    <xdr:clientData/>
  </xdr:twoCellAnchor>
  <xdr:twoCellAnchor>
    <xdr:from>
      <xdr:col>6</xdr:col>
      <xdr:colOff>158434</xdr:colOff>
      <xdr:row>62</xdr:row>
      <xdr:rowOff>78317</xdr:rowOff>
    </xdr:from>
    <xdr:to>
      <xdr:col>9</xdr:col>
      <xdr:colOff>190051</xdr:colOff>
      <xdr:row>63</xdr:row>
      <xdr:rowOff>103845</xdr:rowOff>
    </xdr:to>
    <xdr:sp macro="" textlink="">
      <xdr:nvSpPr>
        <xdr:cNvPr id="5" name="TextBox 4">
          <a:hlinkClick xmlns:r="http://schemas.openxmlformats.org/officeDocument/2006/relationships" r:id="rId4" tooltip="Click here for list of Manitoba Agriculture Farm Managment Specialists"/>
          <a:extLst>
            <a:ext uri="{FF2B5EF4-FFF2-40B4-BE49-F238E27FC236}">
              <a16:creationId xmlns:a16="http://schemas.microsoft.com/office/drawing/2014/main" id="{00000000-0008-0000-0400-000005000000}"/>
            </a:ext>
          </a:extLst>
        </xdr:cNvPr>
        <xdr:cNvSpPr txBox="1"/>
      </xdr:nvSpPr>
      <xdr:spPr>
        <a:xfrm>
          <a:off x="5818189" y="11527367"/>
          <a:ext cx="2275682" cy="26352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200" b="1" i="0" u="sng" baseline="0">
              <a:solidFill>
                <a:srgbClr val="0000FF"/>
              </a:solidFill>
              <a:uFill>
                <a:solidFill>
                  <a:srgbClr val="0000FF"/>
                </a:solidFill>
              </a:uFill>
              <a:latin typeface="Arial" pitchFamily="34" charset="0"/>
              <a:cs typeface="Arial" pitchFamily="34" charset="0"/>
            </a:rPr>
            <a:t>farm management</a:t>
          </a:r>
          <a:r>
            <a:rPr lang="en-CA" sz="1000" b="1" i="0" u="sng" baseline="0">
              <a:solidFill>
                <a:srgbClr val="0000FF"/>
              </a:solidFill>
              <a:uFill>
                <a:solidFill>
                  <a:srgbClr val="0000FF"/>
                </a:solidFill>
              </a:uFill>
              <a:latin typeface="Arial" pitchFamily="34" charset="0"/>
              <a:cs typeface="Arial" pitchFamily="34" charset="0"/>
            </a:rPr>
            <a:t> </a:t>
          </a:r>
          <a:r>
            <a:rPr lang="en-CA" sz="1200" b="1" i="0" u="sng" baseline="0">
              <a:solidFill>
                <a:srgbClr val="0000FF"/>
              </a:solidFill>
              <a:uFill>
                <a:solidFill>
                  <a:srgbClr val="0000FF"/>
                </a:solidFill>
              </a:uFill>
              <a:latin typeface="Arial" pitchFamily="34" charset="0"/>
              <a:cs typeface="Arial" pitchFamily="34" charset="0"/>
            </a:rPr>
            <a:t>specialist</a:t>
          </a:r>
          <a:r>
            <a:rPr lang="en-CA" sz="1000" b="1" i="0" u="sng" baseline="0">
              <a:solidFill>
                <a:srgbClr val="0000FF"/>
              </a:solidFill>
              <a:uFill>
                <a:solidFill>
                  <a:srgbClr val="0000FF"/>
                </a:solidFill>
              </a:uFill>
              <a:latin typeface="Arial" pitchFamily="34" charset="0"/>
              <a:cs typeface="Arial" pitchFamily="34" charset="0"/>
            </a:rPr>
            <a:t> </a:t>
          </a:r>
          <a:endParaRPr lang="en-CA" sz="1000" b="1">
            <a:latin typeface="Arial" pitchFamily="34" charset="0"/>
            <a:cs typeface="Arial" pitchFamily="34" charset="0"/>
          </a:endParaRPr>
        </a:p>
      </xdr:txBody>
    </xdr:sp>
    <xdr:clientData/>
  </xdr:twoCellAnchor>
  <xdr:twoCellAnchor>
    <xdr:from>
      <xdr:col>1</xdr:col>
      <xdr:colOff>1980353</xdr:colOff>
      <xdr:row>65</xdr:row>
      <xdr:rowOff>3335</xdr:rowOff>
    </xdr:from>
    <xdr:to>
      <xdr:col>6</xdr:col>
      <xdr:colOff>386369</xdr:colOff>
      <xdr:row>66</xdr:row>
      <xdr:rowOff>199168</xdr:rowOff>
    </xdr:to>
    <xdr:sp macro="" textlink="">
      <xdr:nvSpPr>
        <xdr:cNvPr id="6" name="TextBox 5">
          <a:hlinkClick xmlns:r="http://schemas.openxmlformats.org/officeDocument/2006/relationships" r:id="rId4" tooltip="Click here for list of Manitoba Agriculture Farm Management Contacts"/>
          <a:extLst>
            <a:ext uri="{FF2B5EF4-FFF2-40B4-BE49-F238E27FC236}">
              <a16:creationId xmlns:a16="http://schemas.microsoft.com/office/drawing/2014/main" id="{00000000-0008-0000-0400-000006000000}"/>
            </a:ext>
          </a:extLst>
        </xdr:cNvPr>
        <xdr:cNvSpPr txBox="1"/>
      </xdr:nvSpPr>
      <xdr:spPr>
        <a:xfrm>
          <a:off x="2153708" y="12018170"/>
          <a:ext cx="3898109" cy="42624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100" b="1" i="0" u="sng" baseline="0">
              <a:solidFill>
                <a:srgbClr val="0000FF"/>
              </a:solidFill>
              <a:uFill>
                <a:solidFill>
                  <a:srgbClr val="0000FF"/>
                </a:solidFill>
              </a:uFill>
              <a:latin typeface="Arial" pitchFamily="34" charset="0"/>
              <a:cs typeface="Arial" pitchFamily="34" charset="0"/>
            </a:rPr>
            <a:t>Manitoba Agriculture Farm Management</a:t>
          </a:r>
          <a:endParaRPr lang="en-CA" sz="1100" b="1">
            <a:latin typeface="Arial" pitchFamily="34" charset="0"/>
            <a:cs typeface="Arial" pitchFamily="34" charset="0"/>
          </a:endParaRPr>
        </a:p>
      </xdr:txBody>
    </xdr:sp>
    <xdr:clientData/>
  </xdr:twoCellAnchor>
  <xdr:twoCellAnchor>
    <xdr:from>
      <xdr:col>2</xdr:col>
      <xdr:colOff>282681</xdr:colOff>
      <xdr:row>65</xdr:row>
      <xdr:rowOff>211931</xdr:rowOff>
    </xdr:from>
    <xdr:to>
      <xdr:col>6</xdr:col>
      <xdr:colOff>341609</xdr:colOff>
      <xdr:row>67</xdr:row>
      <xdr:rowOff>1884</xdr:rowOff>
    </xdr:to>
    <xdr:sp macro="" textlink="">
      <xdr:nvSpPr>
        <xdr:cNvPr id="7" name="TextBox 6">
          <a:hlinkClick xmlns:r="http://schemas.openxmlformats.org/officeDocument/2006/relationships" r:id="rId2" tooltip="Click here for list of Manitoba Agriculture office locations"/>
          <a:extLst>
            <a:ext uri="{FF2B5EF4-FFF2-40B4-BE49-F238E27FC236}">
              <a16:creationId xmlns:a16="http://schemas.microsoft.com/office/drawing/2014/main" id="{00000000-0008-0000-0400-000007000000}"/>
            </a:ext>
          </a:extLst>
        </xdr:cNvPr>
        <xdr:cNvSpPr txBox="1"/>
      </xdr:nvSpPr>
      <xdr:spPr>
        <a:xfrm>
          <a:off x="2926821" y="12232481"/>
          <a:ext cx="3082132" cy="23574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CA" sz="1100" b="1" i="0" u="sng" baseline="0">
              <a:solidFill>
                <a:srgbClr val="0000FF"/>
              </a:solidFill>
              <a:uFill>
                <a:solidFill>
                  <a:srgbClr val="0000FF"/>
                </a:solidFill>
              </a:uFill>
              <a:latin typeface="Arial" pitchFamily="34" charset="0"/>
              <a:cs typeface="Arial" pitchFamily="34" charset="0"/>
            </a:rPr>
            <a:t>Manitoba Agriculture office </a:t>
          </a:r>
          <a:r>
            <a:rPr lang="en-CA" sz="1100" b="1">
              <a:latin typeface="Arial" pitchFamily="34" charset="0"/>
              <a:cs typeface="Arial" pitchFamily="34" charset="0"/>
            </a:rPr>
            <a:t>or:</a:t>
          </a:r>
        </a:p>
      </xdr:txBody>
    </xdr:sp>
    <xdr:clientData/>
  </xdr:twoCellAnchor>
  <xdr:twoCellAnchor>
    <xdr:from>
      <xdr:col>0</xdr:col>
      <xdr:colOff>76201</xdr:colOff>
      <xdr:row>7</xdr:row>
      <xdr:rowOff>64771</xdr:rowOff>
    </xdr:from>
    <xdr:to>
      <xdr:col>4</xdr:col>
      <xdr:colOff>38100</xdr:colOff>
      <xdr:row>8</xdr:row>
      <xdr:rowOff>152490</xdr:rowOff>
    </xdr:to>
    <xdr:sp macro="" textlink="">
      <xdr:nvSpPr>
        <xdr:cNvPr id="8" name="TextBox 7">
          <a:hlinkClick xmlns:r="http://schemas.openxmlformats.org/officeDocument/2006/relationships" r:id="rId5" tooltip="Click here to go to the cow calf cost worksheet."/>
          <a:extLst>
            <a:ext uri="{FF2B5EF4-FFF2-40B4-BE49-F238E27FC236}">
              <a16:creationId xmlns:a16="http://schemas.microsoft.com/office/drawing/2014/main" id="{00000000-0008-0000-0400-000008000000}"/>
            </a:ext>
          </a:extLst>
        </xdr:cNvPr>
        <xdr:cNvSpPr txBox="1"/>
      </xdr:nvSpPr>
      <xdr:spPr>
        <a:xfrm>
          <a:off x="76201" y="1762126"/>
          <a:ext cx="4105274" cy="323850"/>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mn-cs"/>
            </a:rPr>
            <a:t>Click here to enter</a:t>
          </a:r>
          <a:r>
            <a:rPr lang="en-CA" sz="1200" b="1" i="0" u="sng" baseline="0">
              <a:solidFill>
                <a:srgbClr val="0000FF"/>
              </a:solidFill>
              <a:effectLst/>
              <a:latin typeface="Arial" panose="020B0604020202020204" pitchFamily="34" charset="0"/>
              <a:ea typeface="+mn-ea"/>
              <a:cs typeface="+mn-cs"/>
            </a:rPr>
            <a:t> your c</a:t>
          </a:r>
          <a:r>
            <a:rPr lang="en-CA" sz="1200" b="1" i="0" u="sng">
              <a:solidFill>
                <a:srgbClr val="0000FF"/>
              </a:solidFill>
              <a:effectLst/>
              <a:latin typeface="Arial" panose="020B0604020202020204" pitchFamily="34" charset="0"/>
              <a:ea typeface="+mn-ea"/>
              <a:cs typeface="+mn-cs"/>
            </a:rPr>
            <a:t>ow-calf production costs</a:t>
          </a:r>
          <a:endParaRPr lang="en-US" sz="1200" b="1">
            <a:solidFill>
              <a:srgbClr val="0000FF"/>
            </a:solidFill>
            <a:effectLst/>
            <a:latin typeface="Arial" panose="020B0604020202020204" pitchFamily="34" charset="0"/>
          </a:endParaRPr>
        </a:p>
        <a:p>
          <a:endParaRPr lang="en-CA" sz="1200" b="1">
            <a:latin typeface="Arial" pitchFamily="34" charset="0"/>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0.71864</cdr:x>
      <cdr:y>0.95032</cdr:y>
    </cdr:from>
    <cdr:to>
      <cdr:x>0.99379</cdr:x>
      <cdr:y>1</cdr:y>
    </cdr:to>
    <cdr:sp macro="" textlink="">
      <cdr:nvSpPr>
        <cdr:cNvPr id="3" name="TextBox 1"/>
        <cdr:cNvSpPr txBox="1"/>
      </cdr:nvSpPr>
      <cdr:spPr>
        <a:xfrm xmlns:a="http://schemas.openxmlformats.org/drawingml/2006/main">
          <a:off x="4038600" y="4547623"/>
          <a:ext cx="1546251" cy="2377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3.xml><?xml version="1.0" encoding="utf-8"?>
<c:userShapes xmlns:c="http://schemas.openxmlformats.org/drawingml/2006/chart">
  <cdr:relSizeAnchor xmlns:cdr="http://schemas.openxmlformats.org/drawingml/2006/chartDrawing">
    <cdr:from>
      <cdr:x>0.7192</cdr:x>
      <cdr:y>0.95079</cdr:y>
    </cdr:from>
    <cdr:to>
      <cdr:x>0.99574</cdr:x>
      <cdr:y>1</cdr:y>
    </cdr:to>
    <cdr:sp macro="" textlink="">
      <cdr:nvSpPr>
        <cdr:cNvPr id="2" name="TextBox 1"/>
        <cdr:cNvSpPr txBox="1"/>
      </cdr:nvSpPr>
      <cdr:spPr>
        <a:xfrm xmlns:a="http://schemas.openxmlformats.org/drawingml/2006/main">
          <a:off x="3859530" y="4564362"/>
          <a:ext cx="1483994" cy="236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4.xml><?xml version="1.0" encoding="utf-8"?>
<c:userShapes xmlns:c="http://schemas.openxmlformats.org/drawingml/2006/chart">
  <cdr:relSizeAnchor xmlns:cdr="http://schemas.openxmlformats.org/drawingml/2006/chartDrawing">
    <cdr:from>
      <cdr:x>0.70018</cdr:x>
      <cdr:y>0.94158</cdr:y>
    </cdr:from>
    <cdr:to>
      <cdr:x>0.99588</cdr:x>
      <cdr:y>0.99689</cdr:y>
    </cdr:to>
    <cdr:sp macro="" textlink="">
      <cdr:nvSpPr>
        <cdr:cNvPr id="3" name="TextBox 1"/>
        <cdr:cNvSpPr txBox="1"/>
      </cdr:nvSpPr>
      <cdr:spPr>
        <a:xfrm xmlns:a="http://schemas.openxmlformats.org/drawingml/2006/main">
          <a:off x="3768089" y="4498624"/>
          <a:ext cx="1591363" cy="264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5.xml><?xml version="1.0" encoding="utf-8"?>
<c:userShapes xmlns:c="http://schemas.openxmlformats.org/drawingml/2006/chart">
  <cdr:relSizeAnchor xmlns:cdr="http://schemas.openxmlformats.org/drawingml/2006/chartDrawing">
    <cdr:from>
      <cdr:x>0.78003</cdr:x>
      <cdr:y>0.94493</cdr:y>
    </cdr:from>
    <cdr:to>
      <cdr:x>0.97472</cdr:x>
      <cdr:y>0.99445</cdr:y>
    </cdr:to>
    <cdr:sp macro="" textlink="">
      <cdr:nvSpPr>
        <cdr:cNvPr id="2" name="TextBox 1"/>
        <cdr:cNvSpPr txBox="1"/>
      </cdr:nvSpPr>
      <cdr:spPr>
        <a:xfrm xmlns:a="http://schemas.openxmlformats.org/drawingml/2006/main" rot="10800000" flipH="1" flipV="1">
          <a:off x="5876925" y="4543431"/>
          <a:ext cx="1466884" cy="2381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6.xml><?xml version="1.0" encoding="utf-8"?>
<c:userShapes xmlns:c="http://schemas.openxmlformats.org/drawingml/2006/chart">
  <cdr:relSizeAnchor xmlns:cdr="http://schemas.openxmlformats.org/drawingml/2006/chartDrawing">
    <cdr:from>
      <cdr:x>0.79274</cdr:x>
      <cdr:y>0.95087</cdr:y>
    </cdr:from>
    <cdr:to>
      <cdr:x>0.99416</cdr:x>
      <cdr:y>1</cdr:y>
    </cdr:to>
    <cdr:sp macro="" textlink="">
      <cdr:nvSpPr>
        <cdr:cNvPr id="3" name="TextBox 1"/>
        <cdr:cNvSpPr txBox="1"/>
      </cdr:nvSpPr>
      <cdr:spPr>
        <a:xfrm xmlns:a="http://schemas.openxmlformats.org/drawingml/2006/main">
          <a:off x="5989320" y="4571992"/>
          <a:ext cx="1521787" cy="2362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78105</xdr:colOff>
      <xdr:row>0</xdr:row>
      <xdr:rowOff>49530</xdr:rowOff>
    </xdr:from>
    <xdr:to>
      <xdr:col>3</xdr:col>
      <xdr:colOff>413396</xdr:colOff>
      <xdr:row>1</xdr:row>
      <xdr:rowOff>201930</xdr:rowOff>
    </xdr:to>
    <xdr:sp macro="" textlink="">
      <xdr:nvSpPr>
        <xdr:cNvPr id="2" name="TextBox 1">
          <a:hlinkClick xmlns:r="http://schemas.openxmlformats.org/officeDocument/2006/relationships" r:id="rId1" tooltip="Click here to go back to the LPI worksheet."/>
          <a:extLst>
            <a:ext uri="{FF2B5EF4-FFF2-40B4-BE49-F238E27FC236}">
              <a16:creationId xmlns:a16="http://schemas.microsoft.com/office/drawing/2014/main" id="{00000000-0008-0000-0100-000002000000}"/>
            </a:ext>
          </a:extLst>
        </xdr:cNvPr>
        <xdr:cNvSpPr txBox="1"/>
      </xdr:nvSpPr>
      <xdr:spPr>
        <a:xfrm>
          <a:off x="78105" y="49530"/>
          <a:ext cx="1725941" cy="314325"/>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Arial" panose="020B0604020202020204" pitchFamily="34" charset="0"/>
            </a:rPr>
            <a:t>Back to LPIP page</a:t>
          </a:r>
          <a:r>
            <a:rPr lang="en-CA" sz="1200" b="1">
              <a:solidFill>
                <a:srgbClr val="0000FF"/>
              </a:solidFill>
              <a:effectLst/>
              <a:latin typeface="Arial" panose="020B0604020202020204" pitchFamily="34" charset="0"/>
              <a:ea typeface="+mn-ea"/>
              <a:cs typeface="Arial" panose="020B0604020202020204" pitchFamily="34" charset="0"/>
            </a:rPr>
            <a:t> </a:t>
          </a:r>
          <a:endParaRPr lang="en-US" sz="1200">
            <a:solidFill>
              <a:srgbClr val="0000FF"/>
            </a:solidFill>
            <a:effectLst/>
            <a:latin typeface="Arial" panose="020B0604020202020204" pitchFamily="34" charset="0"/>
            <a:cs typeface="Arial" panose="020B0604020202020204" pitchFamily="34" charset="0"/>
          </a:endParaRPr>
        </a:p>
        <a:p>
          <a:endParaRPr lang="en-CA" sz="1200" b="1">
            <a:latin typeface="Arial" pitchFamily="34" charset="0"/>
            <a:cs typeface="Arial" pitchFamily="34" charset="0"/>
          </a:endParaRPr>
        </a:p>
      </xdr:txBody>
    </xdr:sp>
    <xdr:clientData/>
  </xdr:twoCellAnchor>
  <xdr:twoCellAnchor editAs="oneCell">
    <xdr:from>
      <xdr:col>2</xdr:col>
      <xdr:colOff>15240</xdr:colOff>
      <xdr:row>12</xdr:row>
      <xdr:rowOff>7620</xdr:rowOff>
    </xdr:from>
    <xdr:to>
      <xdr:col>9</xdr:col>
      <xdr:colOff>22860</xdr:colOff>
      <xdr:row>32</xdr:row>
      <xdr:rowOff>182879</xdr:rowOff>
    </xdr:to>
    <xdr:pic>
      <xdr:nvPicPr>
        <xdr:cNvPr id="3" name="Picture 2" descr="Sample premium table for LPI.">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7680" y="2461260"/>
          <a:ext cx="6286500" cy="41376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97155</xdr:colOff>
      <xdr:row>0</xdr:row>
      <xdr:rowOff>0</xdr:rowOff>
    </xdr:from>
    <xdr:to>
      <xdr:col>1</xdr:col>
      <xdr:colOff>1569686</xdr:colOff>
      <xdr:row>1</xdr:row>
      <xdr:rowOff>116297</xdr:rowOff>
    </xdr:to>
    <xdr:sp macro="" textlink="">
      <xdr:nvSpPr>
        <xdr:cNvPr id="3" name="TextBox 2">
          <a:hlinkClick xmlns:r="http://schemas.openxmlformats.org/officeDocument/2006/relationships" r:id="rId1" tooltip="Click here to go back to the WLPIP worksheet."/>
          <a:extLst>
            <a:ext uri="{FF2B5EF4-FFF2-40B4-BE49-F238E27FC236}">
              <a16:creationId xmlns:a16="http://schemas.microsoft.com/office/drawing/2014/main" id="{00000000-0008-0000-0200-000003000000}"/>
            </a:ext>
          </a:extLst>
        </xdr:cNvPr>
        <xdr:cNvSpPr txBox="1"/>
      </xdr:nvSpPr>
      <xdr:spPr>
        <a:xfrm>
          <a:off x="104775" y="0"/>
          <a:ext cx="1724025" cy="314325"/>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Arial" panose="020B0604020202020204" pitchFamily="34" charset="0"/>
            </a:rPr>
            <a:t>Back to LPIP page</a:t>
          </a:r>
          <a:r>
            <a:rPr lang="en-CA" sz="1200" b="1">
              <a:solidFill>
                <a:srgbClr val="0000FF"/>
              </a:solidFill>
              <a:effectLst/>
              <a:latin typeface="Arial" panose="020B0604020202020204" pitchFamily="34" charset="0"/>
              <a:ea typeface="+mn-ea"/>
              <a:cs typeface="Arial" panose="020B0604020202020204" pitchFamily="34" charset="0"/>
            </a:rPr>
            <a:t> </a:t>
          </a:r>
          <a:endParaRPr lang="en-US" sz="1200">
            <a:solidFill>
              <a:srgbClr val="0000FF"/>
            </a:solidFill>
            <a:effectLst/>
            <a:latin typeface="Arial" panose="020B0604020202020204" pitchFamily="34" charset="0"/>
            <a:cs typeface="Arial" panose="020B0604020202020204" pitchFamily="34" charset="0"/>
          </a:endParaRPr>
        </a:p>
        <a:p>
          <a:endParaRPr lang="en-CA" sz="1200" b="1">
            <a:latin typeface="Arial" pitchFamily="34" charset="0"/>
            <a:cs typeface="Arial" pitchFamily="34" charset="0"/>
          </a:endParaRPr>
        </a:p>
      </xdr:txBody>
    </xdr:sp>
    <xdr:clientData/>
  </xdr:twoCellAnchor>
  <xdr:twoCellAnchor>
    <xdr:from>
      <xdr:col>2</xdr:col>
      <xdr:colOff>0</xdr:colOff>
      <xdr:row>0</xdr:row>
      <xdr:rowOff>0</xdr:rowOff>
    </xdr:from>
    <xdr:to>
      <xdr:col>3</xdr:col>
      <xdr:colOff>592149</xdr:colOff>
      <xdr:row>1</xdr:row>
      <xdr:rowOff>66675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2990850" y="0"/>
          <a:ext cx="1481648" cy="257175"/>
        </a:xfrm>
        <a:prstGeom prst="rect">
          <a:avLst/>
        </a:prstGeom>
        <a:solidFill>
          <a:schemeClr val="lt1"/>
        </a:solidFill>
        <a:ln w="12700" cmpd="sng">
          <a:solidFill>
            <a:schemeClr val="lt1">
              <a:shade val="50000"/>
            </a:schemeClr>
          </a:solidFill>
        </a:ln>
        <a:effectLst>
          <a:outerShdw blurRad="50800" dist="50800" dir="5400000" algn="ctr" rotWithShape="0">
            <a:schemeClr val="bg1">
              <a:lumMod val="65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u="sng" baseline="0">
              <a:solidFill>
                <a:srgbClr val="0000FF"/>
              </a:solidFill>
              <a:latin typeface="Arial" pitchFamily="34" charset="0"/>
              <a:cs typeface="Arial" pitchFamily="34" charset="0"/>
            </a:rPr>
            <a:t>Back to User Guide</a:t>
          </a:r>
        </a:p>
      </xdr:txBody>
    </xdr:sp>
    <xdr:clientData/>
  </xdr:twoCellAnchor>
  <xdr:twoCellAnchor>
    <xdr:from>
      <xdr:col>2</xdr:col>
      <xdr:colOff>0</xdr:colOff>
      <xdr:row>4</xdr:row>
      <xdr:rowOff>1</xdr:rowOff>
    </xdr:from>
    <xdr:to>
      <xdr:col>8</xdr:col>
      <xdr:colOff>571500</xdr:colOff>
      <xdr:row>5</xdr:row>
      <xdr:rowOff>85726</xdr:rowOff>
    </xdr:to>
    <xdr:sp macro="" textlink="">
      <xdr:nvSpPr>
        <xdr:cNvPr id="5" name="TextBox 4">
          <a:hlinkClick xmlns:r="http://schemas.openxmlformats.org/officeDocument/2006/relationships" r:id="rId3" tooltip="Click here for Guidelines for Estimating Beef Backgrounding Production Costs"/>
          <a:extLst>
            <a:ext uri="{FF2B5EF4-FFF2-40B4-BE49-F238E27FC236}">
              <a16:creationId xmlns:a16="http://schemas.microsoft.com/office/drawing/2014/main" id="{00000000-0008-0000-0200-000005000000}"/>
            </a:ext>
          </a:extLst>
        </xdr:cNvPr>
        <xdr:cNvSpPr txBox="1"/>
      </xdr:nvSpPr>
      <xdr:spPr>
        <a:xfrm>
          <a:off x="2990850" y="800101"/>
          <a:ext cx="5219700" cy="28575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Guidelines for Estimating Backgrounding Production Costs</a:t>
          </a:r>
          <a:r>
            <a:rPr lang="en-CA" sz="1000" b="1" i="0" u="none" baseline="0">
              <a:solidFill>
                <a:sysClr val="windowText" lastClr="000000"/>
              </a:solidFill>
              <a:uFill>
                <a:solidFill>
                  <a:srgbClr val="0000FF"/>
                </a:solidFill>
              </a:uFill>
              <a:latin typeface="Arial" pitchFamily="34" charset="0"/>
              <a:cs typeface="Arial" pitchFamily="34" charset="0"/>
            </a:rPr>
            <a:t> </a:t>
          </a:r>
          <a:endParaRPr lang="en-CA" sz="1000" b="1" u="none" baseline="0">
            <a:solidFill>
              <a:sysClr val="windowText" lastClr="000000"/>
            </a:solidFill>
            <a:latin typeface="Arial" pitchFamily="34" charset="0"/>
            <a:cs typeface="Arial"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15</xdr:row>
      <xdr:rowOff>83820</xdr:rowOff>
    </xdr:from>
    <xdr:to>
      <xdr:col>4</xdr:col>
      <xdr:colOff>45720</xdr:colOff>
      <xdr:row>40</xdr:row>
      <xdr:rowOff>91440</xdr:rowOff>
    </xdr:to>
    <xdr:graphicFrame macro="">
      <xdr:nvGraphicFramePr>
        <xdr:cNvPr id="3646" name="Chart 4">
          <a:extLst>
            <a:ext uri="{FF2B5EF4-FFF2-40B4-BE49-F238E27FC236}">
              <a16:creationId xmlns:a16="http://schemas.microsoft.com/office/drawing/2014/main" id="{00000000-0008-0000-0300-00003E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6</xdr:row>
      <xdr:rowOff>160020</xdr:rowOff>
    </xdr:from>
    <xdr:to>
      <xdr:col>32</xdr:col>
      <xdr:colOff>640080</xdr:colOff>
      <xdr:row>41</xdr:row>
      <xdr:rowOff>0</xdr:rowOff>
    </xdr:to>
    <xdr:graphicFrame macro="">
      <xdr:nvGraphicFramePr>
        <xdr:cNvPr id="3647" name="Chart 8">
          <a:extLst>
            <a:ext uri="{FF2B5EF4-FFF2-40B4-BE49-F238E27FC236}">
              <a16:creationId xmlns:a16="http://schemas.microsoft.com/office/drawing/2014/main" id="{00000000-0008-0000-0300-00003F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wlpip.ca/cattle/wcpip-calf" TargetMode="External"/><Relationship Id="rId2" Type="http://schemas.openxmlformats.org/officeDocument/2006/relationships/hyperlink" Target="https://mywlpip.wlpip.ca/portal/server.pt/community/western_lpip" TargetMode="External"/><Relationship Id="rId1" Type="http://schemas.openxmlformats.org/officeDocument/2006/relationships/hyperlink" Target="https://mywlpip.wlpip.ca/portal/server.pt/community/western_lpip" TargetMode="External"/><Relationship Id="rId6" Type="http://schemas.openxmlformats.org/officeDocument/2006/relationships/drawing" Target="../drawings/drawing7.xml"/><Relationship Id="rId5" Type="http://schemas.openxmlformats.org/officeDocument/2006/relationships/printerSettings" Target="../printerSettings/printerSettings2.bin"/><Relationship Id="rId4" Type="http://schemas.openxmlformats.org/officeDocument/2006/relationships/hyperlink" Target="https://lpi.ca/livestock-price-insurance-cattle/lpi-feede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Benjamin.Hamm@gov.mb.ca" TargetMode="External"/><Relationship Id="rId1" Type="http://schemas.openxmlformats.org/officeDocument/2006/relationships/hyperlink" Target="mailto:roy.arnott@gov.mb.ca" TargetMode="External"/><Relationship Id="rId4"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CF111"/>
  <sheetViews>
    <sheetView showGridLines="0" tabSelected="1" zoomScale="70" zoomScaleNormal="70" zoomScaleSheetLayoutView="30" workbookViewId="0"/>
  </sheetViews>
  <sheetFormatPr defaultColWidth="8" defaultRowHeight="17.399999999999999" x14ac:dyDescent="0.3"/>
  <cols>
    <col min="1" max="1" width="1.6328125" style="3" customWidth="1"/>
    <col min="2" max="2" width="29.08984375" style="3" customWidth="1"/>
    <col min="3" max="3" width="10.08984375" style="3" customWidth="1"/>
    <col min="4" max="4" width="10.7265625" style="3" customWidth="1"/>
    <col min="5" max="5" width="9.6328125" style="3" customWidth="1"/>
    <col min="6" max="6" width="9.7265625" style="3" customWidth="1"/>
    <col min="7" max="7" width="10.1796875" style="3" customWidth="1"/>
    <col min="8" max="8" width="11.08984375" style="3" customWidth="1"/>
    <col min="9" max="9" width="9.6328125" style="3" customWidth="1"/>
    <col min="10" max="10" width="9.90625" style="3" customWidth="1"/>
    <col min="11" max="11" width="9.6328125" style="3" customWidth="1"/>
    <col min="12" max="12" width="9.7265625" style="3" customWidth="1"/>
    <col min="13" max="13" width="9.6328125" style="3" customWidth="1"/>
    <col min="14" max="15" width="10" style="3" customWidth="1"/>
    <col min="16" max="16" width="10.36328125" style="3" customWidth="1"/>
    <col min="17" max="17" width="9.81640625" style="3" customWidth="1"/>
    <col min="18" max="22" width="8.7265625" style="3" customWidth="1"/>
    <col min="23" max="16384" width="8" style="2"/>
  </cols>
  <sheetData>
    <row r="1" spans="1:84" s="15" customFormat="1" ht="27" customHeight="1" x14ac:dyDescent="0.25">
      <c r="A1" s="13"/>
      <c r="B1" s="13"/>
      <c r="C1" s="14"/>
      <c r="D1" s="14"/>
      <c r="E1" s="14"/>
      <c r="F1" s="14"/>
    </row>
    <row r="2" spans="1:84" s="15" customFormat="1" ht="27.6" x14ac:dyDescent="0.45">
      <c r="A2" s="16" t="s">
        <v>45</v>
      </c>
      <c r="B2" s="13"/>
      <c r="C2" s="14"/>
      <c r="D2" s="14"/>
      <c r="E2" s="14"/>
      <c r="F2" s="14"/>
    </row>
    <row r="3" spans="1:84" s="15" customFormat="1" ht="21" x14ac:dyDescent="0.4">
      <c r="A3" s="24" t="s">
        <v>148</v>
      </c>
      <c r="B3" s="13"/>
      <c r="C3" s="14"/>
      <c r="D3" s="14"/>
      <c r="M3" s="109" t="s">
        <v>92</v>
      </c>
      <c r="N3" s="73"/>
      <c r="O3" s="73"/>
      <c r="P3" s="73"/>
      <c r="Q3" s="73"/>
      <c r="T3" s="73"/>
      <c r="U3" s="17" t="s">
        <v>5</v>
      </c>
      <c r="V3" s="18">
        <f ca="1">TODAY()</f>
        <v>45566</v>
      </c>
    </row>
    <row r="4" spans="1:84" ht="7.5" customHeight="1" x14ac:dyDescent="0.3">
      <c r="A4" s="5"/>
      <c r="B4" s="10"/>
      <c r="C4" s="7"/>
      <c r="D4" s="10"/>
      <c r="E4" s="2"/>
      <c r="F4" s="2"/>
      <c r="BB4" s="2" t="s">
        <v>61</v>
      </c>
      <c r="BC4" s="2" t="s">
        <v>62</v>
      </c>
      <c r="BD4" s="2" t="s">
        <v>63</v>
      </c>
      <c r="BE4" s="2" t="s">
        <v>64</v>
      </c>
      <c r="BF4" s="2" t="s">
        <v>65</v>
      </c>
      <c r="BG4" s="2" t="s">
        <v>66</v>
      </c>
      <c r="BH4" s="2" t="s">
        <v>67</v>
      </c>
      <c r="BI4" s="2" t="s">
        <v>68</v>
      </c>
      <c r="BJ4" s="2" t="s">
        <v>69</v>
      </c>
      <c r="BK4" s="2" t="s">
        <v>70</v>
      </c>
      <c r="BL4" s="2" t="s">
        <v>71</v>
      </c>
      <c r="BM4" s="2" t="s">
        <v>72</v>
      </c>
    </row>
    <row r="5" spans="1:84" x14ac:dyDescent="0.3">
      <c r="A5" s="141" t="s">
        <v>149</v>
      </c>
      <c r="B5" s="141"/>
      <c r="C5" s="141"/>
      <c r="D5" s="141"/>
      <c r="E5" s="141"/>
      <c r="F5" s="141"/>
      <c r="G5" s="141"/>
      <c r="H5" s="141"/>
      <c r="I5" s="141"/>
      <c r="J5" s="141"/>
      <c r="K5" s="141"/>
      <c r="L5" s="141"/>
      <c r="M5" s="141"/>
      <c r="N5" s="141"/>
      <c r="O5" s="141"/>
      <c r="P5" s="141"/>
      <c r="Q5" s="141"/>
      <c r="R5" s="141"/>
      <c r="S5" s="141"/>
      <c r="T5" s="141"/>
      <c r="U5" s="141"/>
      <c r="V5" s="141"/>
      <c r="W5" s="1"/>
      <c r="X5" s="1"/>
      <c r="Y5" s="1"/>
      <c r="Z5" s="1"/>
      <c r="AA5" s="1"/>
      <c r="BB5" s="2">
        <v>1</v>
      </c>
      <c r="BC5" s="2">
        <v>2</v>
      </c>
      <c r="BD5" s="2">
        <v>3</v>
      </c>
      <c r="BE5" s="2">
        <v>4</v>
      </c>
      <c r="BF5" s="2">
        <v>5</v>
      </c>
      <c r="BG5" s="2">
        <v>6</v>
      </c>
      <c r="BH5" s="2">
        <v>7</v>
      </c>
      <c r="BI5" s="2">
        <v>8</v>
      </c>
      <c r="BJ5" s="2">
        <v>9</v>
      </c>
      <c r="BK5" s="2">
        <v>10</v>
      </c>
      <c r="BL5" s="2">
        <v>11</v>
      </c>
      <c r="BM5" s="2">
        <v>12</v>
      </c>
      <c r="BN5" s="2">
        <v>13</v>
      </c>
      <c r="BO5" s="2">
        <v>14</v>
      </c>
      <c r="BP5" s="2">
        <v>15</v>
      </c>
      <c r="BQ5" s="2">
        <v>16</v>
      </c>
      <c r="BR5" s="2">
        <v>17</v>
      </c>
      <c r="BS5" s="2">
        <v>18</v>
      </c>
      <c r="BT5" s="2">
        <v>19</v>
      </c>
      <c r="BU5" s="2">
        <v>20</v>
      </c>
      <c r="BV5" s="2">
        <v>21</v>
      </c>
      <c r="BW5" s="2">
        <v>22</v>
      </c>
      <c r="BX5" s="2">
        <v>23</v>
      </c>
      <c r="BY5" s="2">
        <v>24</v>
      </c>
      <c r="BZ5" s="2">
        <v>25</v>
      </c>
      <c r="CA5" s="2">
        <v>26</v>
      </c>
      <c r="CB5" s="2">
        <v>27</v>
      </c>
      <c r="CC5" s="2">
        <v>28</v>
      </c>
      <c r="CD5" s="2">
        <v>29</v>
      </c>
      <c r="CE5" s="2">
        <v>30</v>
      </c>
      <c r="CF5" s="2">
        <v>31</v>
      </c>
    </row>
    <row r="6" spans="1:84" ht="7.5" customHeight="1" thickBot="1" x14ac:dyDescent="0.35">
      <c r="A6" s="45"/>
      <c r="B6" s="45"/>
      <c r="C6" s="45"/>
      <c r="D6" s="45"/>
      <c r="E6" s="45"/>
      <c r="F6" s="45"/>
      <c r="G6" s="45"/>
      <c r="H6" s="45"/>
      <c r="I6" s="45"/>
      <c r="J6" s="45"/>
      <c r="K6" s="45"/>
      <c r="L6" s="45"/>
      <c r="M6" s="45"/>
      <c r="N6" s="45"/>
      <c r="O6" s="45"/>
      <c r="P6" s="45"/>
      <c r="Q6" s="45"/>
      <c r="R6" s="45"/>
      <c r="S6" s="45"/>
      <c r="T6" s="45"/>
      <c r="U6" s="45"/>
      <c r="V6" s="45"/>
      <c r="W6" s="1"/>
      <c r="X6" s="1"/>
      <c r="Y6" s="1"/>
      <c r="Z6" s="1"/>
      <c r="AA6" s="1"/>
    </row>
    <row r="7" spans="1:84" ht="18" customHeight="1" thickBot="1" x14ac:dyDescent="0.35">
      <c r="A7" s="45"/>
      <c r="B7" s="45"/>
      <c r="C7" s="2"/>
      <c r="D7" s="2"/>
      <c r="E7" s="10"/>
      <c r="F7" s="65" t="s">
        <v>73</v>
      </c>
      <c r="G7" s="69" t="s">
        <v>70</v>
      </c>
      <c r="H7" s="70">
        <v>3</v>
      </c>
      <c r="I7" s="45"/>
      <c r="J7" s="45"/>
      <c r="K7" s="45"/>
      <c r="L7" s="45"/>
      <c r="M7" s="45"/>
      <c r="N7" s="45"/>
      <c r="O7" s="45"/>
      <c r="P7" s="45"/>
      <c r="Q7" s="45"/>
      <c r="R7" s="45"/>
      <c r="S7" s="45"/>
      <c r="T7" s="45"/>
      <c r="U7" s="45"/>
      <c r="V7" s="45"/>
      <c r="W7" s="1"/>
      <c r="X7" s="1"/>
      <c r="Y7" s="1"/>
      <c r="Z7" s="1"/>
      <c r="AA7" s="1"/>
    </row>
    <row r="8" spans="1:84" x14ac:dyDescent="0.3">
      <c r="A8" s="1"/>
      <c r="C8" s="142" t="s">
        <v>46</v>
      </c>
      <c r="D8" s="142"/>
      <c r="E8" s="142"/>
      <c r="F8" s="142"/>
      <c r="G8" s="142"/>
      <c r="H8" s="142"/>
      <c r="I8" s="142"/>
      <c r="J8" s="142"/>
      <c r="K8" s="142"/>
      <c r="L8" s="142"/>
      <c r="M8" s="142"/>
      <c r="N8" s="142"/>
      <c r="O8" s="142"/>
      <c r="P8" s="142"/>
      <c r="Q8" s="142"/>
      <c r="R8" s="142"/>
      <c r="S8" s="142"/>
      <c r="T8" s="142"/>
      <c r="U8" s="142"/>
      <c r="V8" s="142"/>
    </row>
    <row r="9" spans="1:84" x14ac:dyDescent="0.3">
      <c r="A9" s="1" t="s">
        <v>55</v>
      </c>
      <c r="B9" s="2"/>
      <c r="C9" s="40">
        <v>332</v>
      </c>
      <c r="D9" s="59">
        <f>SUM(C9-2)</f>
        <v>330</v>
      </c>
      <c r="E9" s="59">
        <f t="shared" ref="E9:V9" si="0">SUM(D9-2)</f>
        <v>328</v>
      </c>
      <c r="F9" s="59">
        <f t="shared" si="0"/>
        <v>326</v>
      </c>
      <c r="G9" s="59">
        <f t="shared" si="0"/>
        <v>324</v>
      </c>
      <c r="H9" s="59">
        <f t="shared" si="0"/>
        <v>322</v>
      </c>
      <c r="I9" s="59">
        <f t="shared" si="0"/>
        <v>320</v>
      </c>
      <c r="J9" s="59">
        <f t="shared" si="0"/>
        <v>318</v>
      </c>
      <c r="K9" s="59">
        <f t="shared" si="0"/>
        <v>316</v>
      </c>
      <c r="L9" s="59">
        <f t="shared" si="0"/>
        <v>314</v>
      </c>
      <c r="M9" s="59">
        <f t="shared" si="0"/>
        <v>312</v>
      </c>
      <c r="N9" s="59">
        <f t="shared" si="0"/>
        <v>310</v>
      </c>
      <c r="O9" s="59">
        <f t="shared" si="0"/>
        <v>308</v>
      </c>
      <c r="P9" s="59">
        <f t="shared" si="0"/>
        <v>306</v>
      </c>
      <c r="Q9" s="59">
        <f t="shared" si="0"/>
        <v>304</v>
      </c>
      <c r="R9" s="59">
        <f t="shared" si="0"/>
        <v>302</v>
      </c>
      <c r="S9" s="59">
        <f t="shared" si="0"/>
        <v>300</v>
      </c>
      <c r="T9" s="59">
        <f t="shared" si="0"/>
        <v>298</v>
      </c>
      <c r="U9" s="59">
        <f t="shared" si="0"/>
        <v>296</v>
      </c>
      <c r="V9" s="59">
        <f t="shared" si="0"/>
        <v>294</v>
      </c>
    </row>
    <row r="10" spans="1:84" x14ac:dyDescent="0.3">
      <c r="A10" s="1" t="s">
        <v>56</v>
      </c>
      <c r="B10" s="2"/>
      <c r="C10" s="9">
        <v>8.64</v>
      </c>
      <c r="D10" s="9">
        <v>8.34</v>
      </c>
      <c r="E10" s="9">
        <v>8.1300000000000008</v>
      </c>
      <c r="F10" s="9">
        <v>7.76</v>
      </c>
      <c r="G10" s="9">
        <v>7.5</v>
      </c>
      <c r="H10" s="9">
        <v>7.29</v>
      </c>
      <c r="I10" s="9">
        <v>7.03</v>
      </c>
      <c r="J10" s="9">
        <v>6.82</v>
      </c>
      <c r="K10" s="9">
        <v>6.56</v>
      </c>
      <c r="L10" s="9">
        <v>6.32</v>
      </c>
      <c r="M10" s="9">
        <v>6.12</v>
      </c>
      <c r="N10" s="9">
        <v>5.84</v>
      </c>
      <c r="O10" s="9">
        <v>5.63</v>
      </c>
      <c r="P10" s="9">
        <v>5.56</v>
      </c>
      <c r="Q10" s="9">
        <v>5.33</v>
      </c>
      <c r="R10" s="9"/>
      <c r="S10" s="9"/>
      <c r="T10" s="9"/>
      <c r="U10" s="9"/>
      <c r="V10" s="9"/>
    </row>
    <row r="11" spans="1:84" ht="7.5" customHeight="1" x14ac:dyDescent="0.3">
      <c r="C11" s="9"/>
      <c r="D11" s="9"/>
      <c r="E11" s="9"/>
      <c r="F11" s="9"/>
      <c r="G11" s="9"/>
      <c r="H11" s="9"/>
      <c r="I11" s="9"/>
      <c r="J11" s="9"/>
      <c r="K11" s="9"/>
      <c r="L11" s="9"/>
      <c r="M11" s="9"/>
      <c r="N11" s="9"/>
      <c r="O11" s="9"/>
      <c r="P11" s="9"/>
      <c r="Q11" s="9"/>
      <c r="R11" s="9"/>
      <c r="S11" s="9"/>
      <c r="T11" s="9"/>
      <c r="U11" s="9"/>
      <c r="V11" s="9"/>
    </row>
    <row r="12" spans="1:84" x14ac:dyDescent="0.3">
      <c r="A12" s="141" t="s">
        <v>150</v>
      </c>
      <c r="B12" s="141"/>
      <c r="C12" s="141"/>
      <c r="D12" s="141"/>
      <c r="E12" s="141"/>
      <c r="F12" s="141"/>
      <c r="G12" s="141"/>
      <c r="H12" s="141"/>
      <c r="I12" s="141"/>
      <c r="J12" s="141"/>
      <c r="K12" s="141"/>
      <c r="L12" s="141"/>
      <c r="M12" s="141"/>
      <c r="N12" s="141"/>
      <c r="O12" s="141"/>
      <c r="P12" s="141"/>
      <c r="Q12" s="141"/>
      <c r="R12" s="141"/>
      <c r="S12" s="141"/>
      <c r="T12" s="141"/>
      <c r="U12" s="141"/>
      <c r="V12" s="141"/>
      <c r="W12" s="1"/>
      <c r="X12" s="1"/>
      <c r="Y12" s="1"/>
      <c r="Z12" s="1"/>
      <c r="AA12" s="1"/>
    </row>
    <row r="13" spans="1:84" ht="7.5" customHeight="1" x14ac:dyDescent="0.3">
      <c r="A13" s="45"/>
      <c r="B13" s="45"/>
      <c r="C13" s="45"/>
      <c r="D13" s="45"/>
      <c r="E13" s="45"/>
      <c r="F13" s="45"/>
      <c r="G13" s="45"/>
      <c r="H13" s="45"/>
      <c r="I13" s="45"/>
      <c r="J13" s="45"/>
      <c r="K13" s="45"/>
      <c r="L13" s="45"/>
      <c r="M13" s="45"/>
      <c r="N13" s="45"/>
      <c r="O13" s="45"/>
      <c r="P13" s="45"/>
      <c r="Q13" s="45"/>
      <c r="R13" s="45"/>
      <c r="S13" s="45"/>
      <c r="T13" s="45"/>
      <c r="U13" s="45"/>
      <c r="V13" s="45"/>
      <c r="W13" s="1"/>
      <c r="X13" s="1"/>
      <c r="Y13" s="1"/>
      <c r="Z13" s="1"/>
      <c r="AA13" s="1"/>
    </row>
    <row r="14" spans="1:84" s="10" customFormat="1" ht="18" customHeight="1" x14ac:dyDescent="0.3">
      <c r="A14" s="5" t="s">
        <v>34</v>
      </c>
      <c r="C14" s="11">
        <v>873</v>
      </c>
      <c r="D14" s="10" t="s">
        <v>4</v>
      </c>
      <c r="H14" s="64" t="s">
        <v>58</v>
      </c>
      <c r="I14" s="63">
        <v>280</v>
      </c>
      <c r="J14" s="5" t="s">
        <v>59</v>
      </c>
    </row>
    <row r="15" spans="1:84" ht="18" customHeight="1" x14ac:dyDescent="0.3">
      <c r="A15" s="5" t="s">
        <v>35</v>
      </c>
      <c r="B15" s="10"/>
      <c r="C15" s="11">
        <v>500</v>
      </c>
      <c r="D15" s="5" t="s">
        <v>36</v>
      </c>
      <c r="E15" s="2"/>
    </row>
    <row r="16" spans="1:84" ht="18" customHeight="1" x14ac:dyDescent="0.3">
      <c r="A16" s="5" t="s">
        <v>37</v>
      </c>
      <c r="B16" s="10"/>
      <c r="C16" s="58">
        <f>SUM(C15*C14)</f>
        <v>436500</v>
      </c>
      <c r="D16" s="10" t="s">
        <v>4</v>
      </c>
      <c r="E16" s="2"/>
    </row>
    <row r="17" spans="1:54" ht="7.5" customHeight="1" x14ac:dyDescent="0.3">
      <c r="A17" s="45"/>
      <c r="B17" s="45"/>
      <c r="C17" s="45"/>
      <c r="D17" s="45"/>
      <c r="E17" s="45"/>
      <c r="F17" s="45"/>
      <c r="G17" s="45"/>
      <c r="H17" s="45"/>
      <c r="I17" s="45"/>
      <c r="J17" s="45"/>
      <c r="K17" s="45"/>
      <c r="L17" s="45"/>
      <c r="M17" s="45"/>
      <c r="N17" s="45"/>
      <c r="O17" s="45"/>
      <c r="P17" s="45"/>
      <c r="Q17" s="45"/>
      <c r="R17" s="45"/>
      <c r="S17" s="45"/>
      <c r="T17" s="45"/>
      <c r="U17" s="45"/>
      <c r="V17" s="45"/>
      <c r="W17" s="1"/>
      <c r="X17" s="1"/>
      <c r="Y17" s="1"/>
      <c r="Z17" s="1"/>
      <c r="AA17" s="1"/>
    </row>
    <row r="18" spans="1:54" x14ac:dyDescent="0.3">
      <c r="A18" s="141" t="s">
        <v>151</v>
      </c>
      <c r="B18" s="141"/>
      <c r="C18" s="141"/>
      <c r="D18" s="141"/>
      <c r="E18" s="141"/>
      <c r="F18" s="141"/>
      <c r="G18" s="141"/>
      <c r="H18" s="141"/>
      <c r="I18" s="141"/>
      <c r="J18" s="141"/>
      <c r="K18" s="141"/>
      <c r="L18" s="141"/>
      <c r="M18" s="141"/>
      <c r="N18" s="141"/>
      <c r="O18" s="141"/>
      <c r="P18" s="141"/>
      <c r="Q18" s="141"/>
      <c r="R18" s="141"/>
      <c r="S18" s="141"/>
      <c r="T18" s="141"/>
      <c r="U18" s="141"/>
      <c r="V18" s="141"/>
      <c r="W18" s="1"/>
      <c r="X18" s="1"/>
      <c r="Y18" s="1"/>
      <c r="Z18" s="1"/>
      <c r="AA18" s="1"/>
    </row>
    <row r="19" spans="1:54" ht="7.5" customHeight="1" x14ac:dyDescent="0.3">
      <c r="A19" s="45"/>
      <c r="B19" s="45"/>
      <c r="C19" s="45"/>
      <c r="D19" s="45"/>
      <c r="E19" s="45"/>
      <c r="F19" s="45"/>
      <c r="G19" s="45"/>
      <c r="H19" s="45"/>
      <c r="I19" s="45"/>
      <c r="J19" s="45"/>
      <c r="K19" s="45"/>
      <c r="L19" s="45"/>
      <c r="M19" s="45"/>
      <c r="N19" s="45"/>
      <c r="O19" s="45"/>
      <c r="P19" s="45"/>
      <c r="Q19" s="45"/>
      <c r="R19" s="45"/>
      <c r="S19" s="45"/>
      <c r="T19" s="45"/>
      <c r="U19" s="45"/>
      <c r="V19" s="45"/>
      <c r="W19" s="1"/>
      <c r="X19" s="1"/>
      <c r="Y19" s="1"/>
      <c r="Z19" s="1"/>
      <c r="AA19" s="1"/>
    </row>
    <row r="20" spans="1:54" x14ac:dyDescent="0.3">
      <c r="A20" s="1" t="str">
        <f>"Premium Cost ($/head @ "&amp;C14&amp;" lbs)"</f>
        <v>Premium Cost ($/head @ 873 lbs)</v>
      </c>
      <c r="B20" s="62"/>
      <c r="C20" s="41">
        <f t="shared" ref="C20:V20" si="1">IF(SUM(C10*($C$14/100))=0,"",SUM(C10*($C$14/100)))</f>
        <v>75.427200000000013</v>
      </c>
      <c r="D20" s="41">
        <f t="shared" si="1"/>
        <v>72.808199999999999</v>
      </c>
      <c r="E20" s="41">
        <f t="shared" si="1"/>
        <v>70.974900000000005</v>
      </c>
      <c r="F20" s="41">
        <f t="shared" si="1"/>
        <v>67.744799999999998</v>
      </c>
      <c r="G20" s="41">
        <f t="shared" si="1"/>
        <v>65.475000000000009</v>
      </c>
      <c r="H20" s="41">
        <f t="shared" si="1"/>
        <v>63.6417</v>
      </c>
      <c r="I20" s="41">
        <f t="shared" si="1"/>
        <v>61.371900000000004</v>
      </c>
      <c r="J20" s="41">
        <f t="shared" si="1"/>
        <v>59.538600000000002</v>
      </c>
      <c r="K20" s="41">
        <f t="shared" si="1"/>
        <v>57.268799999999999</v>
      </c>
      <c r="L20" s="41">
        <f t="shared" si="1"/>
        <v>55.173600000000008</v>
      </c>
      <c r="M20" s="41">
        <f t="shared" si="1"/>
        <v>53.427600000000005</v>
      </c>
      <c r="N20" s="41">
        <f t="shared" si="1"/>
        <v>50.983200000000004</v>
      </c>
      <c r="O20" s="41">
        <f t="shared" si="1"/>
        <v>49.149900000000002</v>
      </c>
      <c r="P20" s="41">
        <f t="shared" si="1"/>
        <v>48.538800000000002</v>
      </c>
      <c r="Q20" s="41">
        <f t="shared" si="1"/>
        <v>46.530900000000003</v>
      </c>
      <c r="R20" s="41" t="str">
        <f t="shared" si="1"/>
        <v/>
      </c>
      <c r="S20" s="41" t="str">
        <f t="shared" si="1"/>
        <v/>
      </c>
      <c r="T20" s="41" t="str">
        <f t="shared" si="1"/>
        <v/>
      </c>
      <c r="U20" s="41" t="str">
        <f t="shared" si="1"/>
        <v/>
      </c>
      <c r="V20" s="41" t="str">
        <f t="shared" si="1"/>
        <v/>
      </c>
    </row>
    <row r="21" spans="1:54" x14ac:dyDescent="0.3">
      <c r="A21" s="1" t="str">
        <f>"Insured Value ($/head @ "&amp;C14&amp;" lbs)"</f>
        <v>Insured Value ($/head @ 873 lbs)</v>
      </c>
      <c r="B21" s="62"/>
      <c r="C21" s="43">
        <f t="shared" ref="C21:V21" si="2">IF(SUM(C10*($C$14/100))=0,"",SUM(C9*($C$14/100)))</f>
        <v>2898.36</v>
      </c>
      <c r="D21" s="43">
        <f t="shared" si="2"/>
        <v>2880.9</v>
      </c>
      <c r="E21" s="43">
        <f t="shared" si="2"/>
        <v>2863.44</v>
      </c>
      <c r="F21" s="43">
        <f t="shared" si="2"/>
        <v>2845.98</v>
      </c>
      <c r="G21" s="43">
        <f t="shared" si="2"/>
        <v>2828.52</v>
      </c>
      <c r="H21" s="43">
        <f t="shared" si="2"/>
        <v>2811.06</v>
      </c>
      <c r="I21" s="43">
        <f t="shared" si="2"/>
        <v>2793.6000000000004</v>
      </c>
      <c r="J21" s="43">
        <f t="shared" si="2"/>
        <v>2776.1400000000003</v>
      </c>
      <c r="K21" s="43">
        <f t="shared" si="2"/>
        <v>2758.6800000000003</v>
      </c>
      <c r="L21" s="43">
        <f t="shared" si="2"/>
        <v>2741.2200000000003</v>
      </c>
      <c r="M21" s="43">
        <f t="shared" si="2"/>
        <v>2723.76</v>
      </c>
      <c r="N21" s="43">
        <f t="shared" si="2"/>
        <v>2706.3</v>
      </c>
      <c r="O21" s="43">
        <f t="shared" si="2"/>
        <v>2688.84</v>
      </c>
      <c r="P21" s="43">
        <f t="shared" si="2"/>
        <v>2671.38</v>
      </c>
      <c r="Q21" s="43">
        <f t="shared" si="2"/>
        <v>2653.92</v>
      </c>
      <c r="R21" s="43" t="str">
        <f t="shared" si="2"/>
        <v/>
      </c>
      <c r="S21" s="43" t="str">
        <f t="shared" si="2"/>
        <v/>
      </c>
      <c r="T21" s="43" t="str">
        <f t="shared" si="2"/>
        <v/>
      </c>
      <c r="U21" s="43" t="str">
        <f t="shared" si="2"/>
        <v/>
      </c>
      <c r="V21" s="43" t="str">
        <f t="shared" si="2"/>
        <v/>
      </c>
    </row>
    <row r="22" spans="1:54" ht="7.5" customHeight="1" x14ac:dyDescent="0.3">
      <c r="A22" s="1"/>
      <c r="B22" s="62"/>
      <c r="C22" s="43"/>
      <c r="D22" s="43"/>
      <c r="E22" s="43"/>
      <c r="F22" s="43"/>
      <c r="G22" s="43"/>
      <c r="H22" s="43"/>
      <c r="I22" s="43"/>
      <c r="J22" s="43"/>
      <c r="K22" s="43"/>
      <c r="L22" s="43"/>
      <c r="M22" s="43"/>
      <c r="N22" s="43"/>
      <c r="O22" s="43"/>
      <c r="P22" s="43"/>
      <c r="Q22" s="43"/>
      <c r="R22" s="43"/>
      <c r="S22" s="43"/>
      <c r="T22" s="43"/>
      <c r="U22" s="43"/>
      <c r="V22" s="43"/>
    </row>
    <row r="23" spans="1:54" x14ac:dyDescent="0.3">
      <c r="A23" s="1" t="s">
        <v>49</v>
      </c>
      <c r="B23" s="62"/>
      <c r="C23" s="42">
        <f t="shared" ref="C23:V23" si="3">IF(SUM(C10*($C$14/100))=0,"",SUM(C20/C21))</f>
        <v>2.6024096385542171E-2</v>
      </c>
      <c r="D23" s="42">
        <f t="shared" si="3"/>
        <v>2.5272727272727273E-2</v>
      </c>
      <c r="E23" s="42">
        <f t="shared" si="3"/>
        <v>2.478658536585366E-2</v>
      </c>
      <c r="F23" s="42">
        <f t="shared" si="3"/>
        <v>2.3803680981595091E-2</v>
      </c>
      <c r="G23" s="42">
        <f t="shared" si="3"/>
        <v>2.314814814814815E-2</v>
      </c>
      <c r="H23" s="42">
        <f t="shared" si="3"/>
        <v>2.2639751552795032E-2</v>
      </c>
      <c r="I23" s="42">
        <f t="shared" si="3"/>
        <v>2.1968749999999999E-2</v>
      </c>
      <c r="J23" s="42">
        <f t="shared" si="3"/>
        <v>2.1446540880503143E-2</v>
      </c>
      <c r="K23" s="42">
        <f t="shared" si="3"/>
        <v>2.0759493670886073E-2</v>
      </c>
      <c r="L23" s="42">
        <f t="shared" si="3"/>
        <v>2.0127388535031848E-2</v>
      </c>
      <c r="M23" s="42">
        <f t="shared" si="3"/>
        <v>1.9615384615384614E-2</v>
      </c>
      <c r="N23" s="42">
        <f t="shared" si="3"/>
        <v>1.8838709677419355E-2</v>
      </c>
      <c r="O23" s="42">
        <f t="shared" si="3"/>
        <v>1.827922077922078E-2</v>
      </c>
      <c r="P23" s="42">
        <f t="shared" si="3"/>
        <v>1.8169934640522876E-2</v>
      </c>
      <c r="Q23" s="42">
        <f t="shared" si="3"/>
        <v>1.7532894736842105E-2</v>
      </c>
      <c r="R23" s="42" t="str">
        <f t="shared" si="3"/>
        <v/>
      </c>
      <c r="S23" s="42" t="str">
        <f t="shared" si="3"/>
        <v/>
      </c>
      <c r="T23" s="42" t="str">
        <f t="shared" si="3"/>
        <v/>
      </c>
      <c r="U23" s="42" t="str">
        <f t="shared" si="3"/>
        <v/>
      </c>
      <c r="V23" s="42" t="str">
        <f t="shared" si="3"/>
        <v/>
      </c>
    </row>
    <row r="24" spans="1:54" ht="7.5" customHeight="1" x14ac:dyDescent="0.3">
      <c r="A24" s="1"/>
      <c r="B24" s="62"/>
      <c r="C24" s="41"/>
      <c r="D24" s="41"/>
      <c r="E24" s="41"/>
      <c r="F24" s="41"/>
      <c r="G24" s="41"/>
      <c r="H24" s="41"/>
      <c r="I24" s="41"/>
      <c r="J24" s="41"/>
      <c r="K24" s="41"/>
      <c r="L24" s="41"/>
      <c r="M24" s="41"/>
      <c r="N24" s="41"/>
      <c r="O24" s="41"/>
      <c r="P24" s="41"/>
      <c r="Q24" s="41"/>
      <c r="R24" s="41"/>
      <c r="S24" s="41"/>
      <c r="T24" s="41"/>
      <c r="U24" s="41"/>
      <c r="V24" s="41"/>
    </row>
    <row r="25" spans="1:54" x14ac:dyDescent="0.3">
      <c r="A25" s="1" t="str">
        <f>"Total Premium ("&amp;C15&amp;" calves)"</f>
        <v>Total Premium (500 calves)</v>
      </c>
      <c r="B25" s="62"/>
      <c r="C25" s="43">
        <f t="shared" ref="C25:V25" si="4">IF(SUM(C10*($C$14/100))=0,"",SUM(C20*$C$15))</f>
        <v>37713.600000000006</v>
      </c>
      <c r="D25" s="43">
        <f t="shared" si="4"/>
        <v>36404.1</v>
      </c>
      <c r="E25" s="43">
        <f t="shared" si="4"/>
        <v>35487.450000000004</v>
      </c>
      <c r="F25" s="43">
        <f t="shared" si="4"/>
        <v>33872.400000000001</v>
      </c>
      <c r="G25" s="43">
        <f t="shared" si="4"/>
        <v>32737.500000000004</v>
      </c>
      <c r="H25" s="43">
        <f t="shared" si="4"/>
        <v>31820.85</v>
      </c>
      <c r="I25" s="43">
        <f t="shared" si="4"/>
        <v>30685.95</v>
      </c>
      <c r="J25" s="43">
        <f t="shared" si="4"/>
        <v>29769.300000000003</v>
      </c>
      <c r="K25" s="43">
        <f t="shared" si="4"/>
        <v>28634.399999999998</v>
      </c>
      <c r="L25" s="43">
        <f t="shared" si="4"/>
        <v>27586.800000000003</v>
      </c>
      <c r="M25" s="43">
        <f t="shared" si="4"/>
        <v>26713.800000000003</v>
      </c>
      <c r="N25" s="43">
        <f t="shared" si="4"/>
        <v>25491.600000000002</v>
      </c>
      <c r="O25" s="43">
        <f t="shared" si="4"/>
        <v>24574.95</v>
      </c>
      <c r="P25" s="43">
        <f t="shared" si="4"/>
        <v>24269.4</v>
      </c>
      <c r="Q25" s="43">
        <f t="shared" si="4"/>
        <v>23265.45</v>
      </c>
      <c r="R25" s="43" t="str">
        <f t="shared" si="4"/>
        <v/>
      </c>
      <c r="S25" s="43" t="str">
        <f t="shared" si="4"/>
        <v/>
      </c>
      <c r="T25" s="43" t="str">
        <f t="shared" si="4"/>
        <v/>
      </c>
      <c r="U25" s="43" t="str">
        <f t="shared" si="4"/>
        <v/>
      </c>
      <c r="V25" s="43" t="str">
        <f t="shared" si="4"/>
        <v/>
      </c>
    </row>
    <row r="26" spans="1:54" x14ac:dyDescent="0.3">
      <c r="A26" s="1" t="str">
        <f>"Total Insured Value ("&amp;C15&amp;" calves)"</f>
        <v>Total Insured Value (500 calves)</v>
      </c>
      <c r="B26" s="1"/>
      <c r="C26" s="43">
        <f t="shared" ref="C26:V26" si="5">IF(SUM(C10*($C$14/100))=0,"",SUM(C21*$C$15))</f>
        <v>1449180</v>
      </c>
      <c r="D26" s="43">
        <f t="shared" si="5"/>
        <v>1440450</v>
      </c>
      <c r="E26" s="43">
        <f t="shared" si="5"/>
        <v>1431720</v>
      </c>
      <c r="F26" s="43">
        <f t="shared" si="5"/>
        <v>1422990</v>
      </c>
      <c r="G26" s="43">
        <f t="shared" si="5"/>
        <v>1414260</v>
      </c>
      <c r="H26" s="43">
        <f t="shared" si="5"/>
        <v>1405530</v>
      </c>
      <c r="I26" s="43">
        <f t="shared" si="5"/>
        <v>1396800.0000000002</v>
      </c>
      <c r="J26" s="43">
        <f t="shared" si="5"/>
        <v>1388070.0000000002</v>
      </c>
      <c r="K26" s="43">
        <f t="shared" si="5"/>
        <v>1379340.0000000002</v>
      </c>
      <c r="L26" s="43">
        <f t="shared" si="5"/>
        <v>1370610.0000000002</v>
      </c>
      <c r="M26" s="43">
        <f t="shared" si="5"/>
        <v>1361880</v>
      </c>
      <c r="N26" s="43">
        <f t="shared" si="5"/>
        <v>1353150</v>
      </c>
      <c r="O26" s="43">
        <f t="shared" si="5"/>
        <v>1344420</v>
      </c>
      <c r="P26" s="43">
        <f t="shared" si="5"/>
        <v>1335690</v>
      </c>
      <c r="Q26" s="43">
        <f t="shared" si="5"/>
        <v>1326960</v>
      </c>
      <c r="R26" s="43" t="str">
        <f t="shared" si="5"/>
        <v/>
      </c>
      <c r="S26" s="43" t="str">
        <f t="shared" si="5"/>
        <v/>
      </c>
      <c r="T26" s="43" t="str">
        <f t="shared" si="5"/>
        <v/>
      </c>
      <c r="U26" s="43" t="str">
        <f t="shared" si="5"/>
        <v/>
      </c>
      <c r="V26" s="43" t="str">
        <f t="shared" si="5"/>
        <v/>
      </c>
    </row>
    <row r="27" spans="1:54" ht="7.5" customHeight="1" x14ac:dyDescent="0.3">
      <c r="C27" s="6"/>
      <c r="D27" s="6"/>
      <c r="E27" s="6"/>
      <c r="F27" s="6"/>
      <c r="G27" s="6"/>
      <c r="H27" s="6"/>
      <c r="I27" s="6"/>
      <c r="J27" s="6"/>
    </row>
    <row r="28" spans="1:54" ht="18" customHeight="1" x14ac:dyDescent="0.3">
      <c r="A28" s="1" t="s">
        <v>57</v>
      </c>
      <c r="C28" s="6"/>
      <c r="D28" s="6"/>
      <c r="E28" s="6"/>
      <c r="F28" s="6"/>
      <c r="G28" s="6"/>
      <c r="H28" s="6"/>
      <c r="I28" s="6"/>
      <c r="J28" s="6"/>
    </row>
    <row r="29" spans="1:54" ht="18" hidden="1" customHeight="1" x14ac:dyDescent="0.3">
      <c r="B29" s="3" t="s">
        <v>50</v>
      </c>
      <c r="C29" s="52">
        <f t="shared" ref="C29:V29" si="6">IF(OR(D25="",C25=""),"",SUM(C20-D20))</f>
        <v>2.619000000000014</v>
      </c>
      <c r="D29" s="52">
        <f t="shared" si="6"/>
        <v>1.8332999999999942</v>
      </c>
      <c r="E29" s="52">
        <f t="shared" si="6"/>
        <v>3.2301000000000073</v>
      </c>
      <c r="F29" s="52">
        <f t="shared" si="6"/>
        <v>2.2697999999999894</v>
      </c>
      <c r="G29" s="52">
        <f t="shared" si="6"/>
        <v>1.8333000000000084</v>
      </c>
      <c r="H29" s="52">
        <f t="shared" si="6"/>
        <v>2.2697999999999965</v>
      </c>
      <c r="I29" s="52">
        <f t="shared" si="6"/>
        <v>1.8333000000000013</v>
      </c>
      <c r="J29" s="52">
        <f t="shared" si="6"/>
        <v>2.2698000000000036</v>
      </c>
      <c r="K29" s="52">
        <f t="shared" si="6"/>
        <v>2.0951999999999913</v>
      </c>
      <c r="L29" s="52">
        <f t="shared" si="6"/>
        <v>1.7460000000000022</v>
      </c>
      <c r="M29" s="52">
        <f t="shared" si="6"/>
        <v>2.4444000000000017</v>
      </c>
      <c r="N29" s="52">
        <f t="shared" si="6"/>
        <v>1.8333000000000013</v>
      </c>
      <c r="O29" s="52">
        <f t="shared" si="6"/>
        <v>0.61110000000000042</v>
      </c>
      <c r="P29" s="52">
        <f t="shared" si="6"/>
        <v>2.0078999999999994</v>
      </c>
      <c r="Q29" s="52" t="str">
        <f t="shared" si="6"/>
        <v/>
      </c>
      <c r="R29" s="52" t="str">
        <f t="shared" si="6"/>
        <v/>
      </c>
      <c r="S29" s="52" t="str">
        <f t="shared" si="6"/>
        <v/>
      </c>
      <c r="T29" s="52" t="str">
        <f t="shared" si="6"/>
        <v/>
      </c>
      <c r="U29" s="52" t="str">
        <f t="shared" si="6"/>
        <v/>
      </c>
      <c r="V29" s="52" t="str">
        <f t="shared" si="6"/>
        <v/>
      </c>
      <c r="BB29" s="2">
        <f>SUM(BB28+1)</f>
        <v>1</v>
      </c>
    </row>
    <row r="30" spans="1:54" ht="18" hidden="1" customHeight="1" x14ac:dyDescent="0.3">
      <c r="B30" s="3" t="s">
        <v>51</v>
      </c>
      <c r="C30" s="52">
        <f t="shared" ref="C30:V30" si="7">IF(OR(D25="",C25=""),"",SUM(C21-D21))</f>
        <v>17.460000000000036</v>
      </c>
      <c r="D30" s="52">
        <f t="shared" si="7"/>
        <v>17.460000000000036</v>
      </c>
      <c r="E30" s="52">
        <f t="shared" si="7"/>
        <v>17.460000000000036</v>
      </c>
      <c r="F30" s="52">
        <f t="shared" si="7"/>
        <v>17.460000000000036</v>
      </c>
      <c r="G30" s="52">
        <f t="shared" si="7"/>
        <v>17.460000000000036</v>
      </c>
      <c r="H30" s="52">
        <f t="shared" si="7"/>
        <v>17.459999999999582</v>
      </c>
      <c r="I30" s="52">
        <f t="shared" si="7"/>
        <v>17.460000000000036</v>
      </c>
      <c r="J30" s="52">
        <f t="shared" si="7"/>
        <v>17.460000000000036</v>
      </c>
      <c r="K30" s="52">
        <f t="shared" si="7"/>
        <v>17.460000000000036</v>
      </c>
      <c r="L30" s="52">
        <f t="shared" si="7"/>
        <v>17.460000000000036</v>
      </c>
      <c r="M30" s="52">
        <f t="shared" si="7"/>
        <v>17.460000000000036</v>
      </c>
      <c r="N30" s="52">
        <f t="shared" si="7"/>
        <v>17.460000000000036</v>
      </c>
      <c r="O30" s="52">
        <f t="shared" si="7"/>
        <v>17.460000000000036</v>
      </c>
      <c r="P30" s="52">
        <f t="shared" si="7"/>
        <v>17.460000000000036</v>
      </c>
      <c r="Q30" s="52" t="str">
        <f t="shared" si="7"/>
        <v/>
      </c>
      <c r="R30" s="52" t="str">
        <f t="shared" si="7"/>
        <v/>
      </c>
      <c r="S30" s="52" t="str">
        <f t="shared" si="7"/>
        <v/>
      </c>
      <c r="T30" s="52" t="str">
        <f t="shared" si="7"/>
        <v/>
      </c>
      <c r="U30" s="52" t="str">
        <f t="shared" si="7"/>
        <v/>
      </c>
      <c r="V30" s="52" t="str">
        <f t="shared" si="7"/>
        <v/>
      </c>
      <c r="BB30" s="2">
        <f>SUM(BB29+1)</f>
        <v>2</v>
      </c>
    </row>
    <row r="31" spans="1:54" x14ac:dyDescent="0.3">
      <c r="B31" s="3" t="s">
        <v>54</v>
      </c>
      <c r="C31" s="41">
        <f t="shared" ref="C31:V31" si="8">IF(OR(D25="",C25=""),"",SUM((C25-D25)/(C26-D26)))</f>
        <v>0.15000000000000083</v>
      </c>
      <c r="D31" s="41">
        <f t="shared" si="8"/>
        <v>0.10499999999999933</v>
      </c>
      <c r="E31" s="41">
        <f t="shared" si="8"/>
        <v>0.18500000000000033</v>
      </c>
      <c r="F31" s="41">
        <f t="shared" si="8"/>
        <v>0.12999999999999975</v>
      </c>
      <c r="G31" s="41">
        <f t="shared" si="8"/>
        <v>0.10500000000000058</v>
      </c>
      <c r="H31" s="41">
        <f t="shared" si="8"/>
        <v>0.13000000000000322</v>
      </c>
      <c r="I31" s="41">
        <f t="shared" si="8"/>
        <v>0.10499999999999975</v>
      </c>
      <c r="J31" s="41">
        <f t="shared" si="8"/>
        <v>0.13000000000000059</v>
      </c>
      <c r="K31" s="41">
        <f t="shared" si="8"/>
        <v>0.11999999999999941</v>
      </c>
      <c r="L31" s="41">
        <f t="shared" si="8"/>
        <v>9.9999999999997327E-2</v>
      </c>
      <c r="M31" s="41">
        <f t="shared" si="8"/>
        <v>0.1400000000000001</v>
      </c>
      <c r="N31" s="41">
        <f t="shared" si="8"/>
        <v>0.10500000000000016</v>
      </c>
      <c r="O31" s="41">
        <f t="shared" si="8"/>
        <v>3.499999999999992E-2</v>
      </c>
      <c r="P31" s="41">
        <f t="shared" si="8"/>
        <v>0.11500000000000009</v>
      </c>
      <c r="Q31" s="41" t="str">
        <f t="shared" si="8"/>
        <v/>
      </c>
      <c r="R31" s="41" t="str">
        <f t="shared" si="8"/>
        <v/>
      </c>
      <c r="S31" s="41" t="str">
        <f t="shared" si="8"/>
        <v/>
      </c>
      <c r="T31" s="41" t="str">
        <f t="shared" si="8"/>
        <v/>
      </c>
      <c r="U31" s="41" t="str">
        <f t="shared" si="8"/>
        <v/>
      </c>
      <c r="V31" s="41" t="str">
        <f t="shared" si="8"/>
        <v/>
      </c>
    </row>
    <row r="32" spans="1:54" ht="7.5" customHeight="1" x14ac:dyDescent="0.3">
      <c r="B32" s="1"/>
      <c r="C32" s="41"/>
      <c r="D32" s="41"/>
      <c r="E32" s="41"/>
      <c r="F32" s="41"/>
      <c r="G32" s="41"/>
      <c r="H32" s="41"/>
      <c r="I32" s="41"/>
      <c r="J32" s="41"/>
      <c r="K32" s="41"/>
      <c r="L32" s="41"/>
      <c r="M32" s="41"/>
      <c r="N32" s="41"/>
      <c r="O32" s="41"/>
      <c r="P32" s="41"/>
      <c r="Q32" s="41"/>
      <c r="R32" s="41"/>
      <c r="S32" s="41"/>
      <c r="T32" s="41"/>
      <c r="U32" s="41"/>
      <c r="V32" s="41"/>
    </row>
    <row r="33" spans="1:27" x14ac:dyDescent="0.3">
      <c r="A33" s="141" t="s">
        <v>152</v>
      </c>
      <c r="B33" s="141"/>
      <c r="C33" s="141"/>
      <c r="D33" s="141"/>
      <c r="E33" s="141"/>
      <c r="F33" s="141"/>
      <c r="G33" s="141"/>
      <c r="H33" s="141"/>
      <c r="I33" s="141"/>
      <c r="J33" s="141"/>
      <c r="K33" s="141"/>
      <c r="L33" s="141"/>
      <c r="M33" s="141"/>
      <c r="N33" s="141"/>
      <c r="O33" s="141"/>
      <c r="P33" s="141"/>
      <c r="Q33" s="141"/>
      <c r="R33" s="141"/>
      <c r="S33" s="141"/>
      <c r="T33" s="141"/>
      <c r="U33" s="141"/>
      <c r="V33" s="141"/>
      <c r="W33" s="1"/>
      <c r="X33" s="1"/>
      <c r="Y33" s="1"/>
      <c r="Z33" s="1"/>
      <c r="AA33" s="1"/>
    </row>
    <row r="34" spans="1:27" ht="7.5" customHeight="1" x14ac:dyDescent="0.3">
      <c r="A34" s="45"/>
      <c r="B34" s="45"/>
      <c r="C34" s="45"/>
      <c r="D34" s="45"/>
      <c r="E34" s="45"/>
      <c r="F34" s="45"/>
      <c r="G34" s="45"/>
      <c r="H34" s="45"/>
      <c r="I34" s="45"/>
      <c r="J34" s="45"/>
      <c r="K34" s="45"/>
      <c r="L34" s="45"/>
      <c r="M34" s="45"/>
      <c r="N34" s="45"/>
      <c r="O34" s="45"/>
      <c r="P34" s="45"/>
      <c r="Q34" s="45"/>
      <c r="R34" s="45"/>
      <c r="S34" s="45"/>
      <c r="T34" s="45"/>
      <c r="U34" s="45"/>
      <c r="V34" s="45"/>
      <c r="W34" s="1"/>
      <c r="X34" s="1"/>
      <c r="Y34" s="1"/>
      <c r="Z34" s="1"/>
      <c r="AA34" s="1"/>
    </row>
    <row r="35" spans="1:27" x14ac:dyDescent="0.3">
      <c r="A35" s="1" t="str">
        <f>"LPIP Payment at Estimated Settlement Price = $"&amp;I14&amp;"/cwt"</f>
        <v>LPIP Payment at Estimated Settlement Price = $280/cwt</v>
      </c>
      <c r="C35" s="41"/>
      <c r="D35" s="41"/>
      <c r="E35" s="41"/>
      <c r="F35" s="41"/>
      <c r="G35" s="41"/>
      <c r="H35" s="41"/>
      <c r="I35" s="41"/>
      <c r="J35" s="41"/>
      <c r="K35" s="41"/>
      <c r="L35" s="41"/>
      <c r="M35" s="41"/>
      <c r="N35" s="41"/>
      <c r="O35" s="41"/>
      <c r="P35" s="41"/>
      <c r="Q35" s="41"/>
      <c r="R35" s="41"/>
      <c r="S35" s="41"/>
      <c r="T35" s="41"/>
      <c r="U35" s="41"/>
      <c r="V35" s="41"/>
    </row>
    <row r="36" spans="1:27" x14ac:dyDescent="0.3">
      <c r="B36" s="3" t="s">
        <v>153</v>
      </c>
      <c r="C36" s="43">
        <f t="shared" ref="C36:V36" si="9">IF(SUM(C10*($C$14/100))=0,"",IF(ROUND(C9-$I$14,1)&lt;1,"-",SUM(C9-$I$14)*$C$14/100))</f>
        <v>453.96</v>
      </c>
      <c r="D36" s="43">
        <f t="shared" si="9"/>
        <v>436.5</v>
      </c>
      <c r="E36" s="43">
        <f t="shared" si="9"/>
        <v>419.04</v>
      </c>
      <c r="F36" s="43">
        <f t="shared" si="9"/>
        <v>401.58</v>
      </c>
      <c r="G36" s="43">
        <f t="shared" si="9"/>
        <v>384.12</v>
      </c>
      <c r="H36" s="43">
        <f t="shared" si="9"/>
        <v>366.66</v>
      </c>
      <c r="I36" s="43">
        <f t="shared" si="9"/>
        <v>349.2</v>
      </c>
      <c r="J36" s="43">
        <f t="shared" si="9"/>
        <v>331.74</v>
      </c>
      <c r="K36" s="43">
        <f t="shared" si="9"/>
        <v>314.27999999999997</v>
      </c>
      <c r="L36" s="43">
        <f t="shared" si="9"/>
        <v>296.82</v>
      </c>
      <c r="M36" s="43">
        <f t="shared" si="9"/>
        <v>279.36</v>
      </c>
      <c r="N36" s="43">
        <f t="shared" si="9"/>
        <v>261.89999999999998</v>
      </c>
      <c r="O36" s="43">
        <f t="shared" si="9"/>
        <v>244.44</v>
      </c>
      <c r="P36" s="43">
        <f t="shared" si="9"/>
        <v>226.98</v>
      </c>
      <c r="Q36" s="43">
        <f t="shared" si="9"/>
        <v>209.52</v>
      </c>
      <c r="R36" s="43" t="str">
        <f t="shared" si="9"/>
        <v/>
      </c>
      <c r="S36" s="43" t="str">
        <f t="shared" si="9"/>
        <v/>
      </c>
      <c r="T36" s="43" t="str">
        <f t="shared" si="9"/>
        <v/>
      </c>
      <c r="U36" s="43" t="str">
        <f t="shared" si="9"/>
        <v/>
      </c>
      <c r="V36" s="43" t="str">
        <f t="shared" si="9"/>
        <v/>
      </c>
    </row>
    <row r="37" spans="1:27" x14ac:dyDescent="0.3">
      <c r="B37" s="1" t="str">
        <f>"Total LPIP ($ per "&amp;C15&amp;" calves)"</f>
        <v>Total LPIP ($ per 500 calves)</v>
      </c>
      <c r="C37" s="43">
        <f t="shared" ref="C37:V37" si="10">IF(SUM(C10*($C$14/100))=0,"",IF(C36="-","-",SUM(C36*$C$15)))</f>
        <v>226980</v>
      </c>
      <c r="D37" s="43">
        <f t="shared" si="10"/>
        <v>218250</v>
      </c>
      <c r="E37" s="43">
        <f t="shared" si="10"/>
        <v>209520</v>
      </c>
      <c r="F37" s="43">
        <f t="shared" si="10"/>
        <v>200790</v>
      </c>
      <c r="G37" s="43">
        <f t="shared" si="10"/>
        <v>192060</v>
      </c>
      <c r="H37" s="43">
        <f t="shared" si="10"/>
        <v>183330</v>
      </c>
      <c r="I37" s="43">
        <f t="shared" si="10"/>
        <v>174600</v>
      </c>
      <c r="J37" s="43">
        <f t="shared" si="10"/>
        <v>165870</v>
      </c>
      <c r="K37" s="43">
        <f t="shared" si="10"/>
        <v>157140</v>
      </c>
      <c r="L37" s="43">
        <f t="shared" si="10"/>
        <v>148410</v>
      </c>
      <c r="M37" s="43">
        <f t="shared" si="10"/>
        <v>139680</v>
      </c>
      <c r="N37" s="43">
        <f t="shared" si="10"/>
        <v>130949.99999999999</v>
      </c>
      <c r="O37" s="43">
        <f t="shared" si="10"/>
        <v>122220</v>
      </c>
      <c r="P37" s="43">
        <f t="shared" si="10"/>
        <v>113490</v>
      </c>
      <c r="Q37" s="43">
        <f t="shared" si="10"/>
        <v>104760</v>
      </c>
      <c r="R37" s="43" t="str">
        <f t="shared" si="10"/>
        <v/>
      </c>
      <c r="S37" s="43" t="str">
        <f t="shared" si="10"/>
        <v/>
      </c>
      <c r="T37" s="43" t="str">
        <f t="shared" si="10"/>
        <v/>
      </c>
      <c r="U37" s="43" t="str">
        <f t="shared" si="10"/>
        <v/>
      </c>
      <c r="V37" s="43" t="str">
        <f t="shared" si="10"/>
        <v/>
      </c>
    </row>
    <row r="38" spans="1:27" ht="7.5" customHeight="1" x14ac:dyDescent="0.3">
      <c r="C38" s="6"/>
      <c r="D38" s="6"/>
      <c r="E38" s="6"/>
      <c r="F38" s="6"/>
      <c r="G38" s="6"/>
      <c r="H38" s="6"/>
      <c r="I38" s="6"/>
      <c r="J38" s="6"/>
    </row>
    <row r="39" spans="1:27" x14ac:dyDescent="0.3">
      <c r="A39" s="1" t="s">
        <v>154</v>
      </c>
      <c r="C39" s="6"/>
      <c r="D39" s="6"/>
      <c r="E39" s="6"/>
      <c r="F39" s="6"/>
      <c r="G39" s="6"/>
      <c r="H39" s="6"/>
      <c r="I39" s="6"/>
      <c r="J39" s="6"/>
    </row>
    <row r="40" spans="1:27" x14ac:dyDescent="0.3">
      <c r="B40" s="3" t="s">
        <v>38</v>
      </c>
      <c r="C40" s="52" t="str">
        <f>IF(SUM(C10*($C$14/100))=0,"",IF(C20+'Cost of Production'!$C$31-' LPI Calculator'!C21&lt;0,"-",SUM(C20+'Cost of Production'!$C$31-' LPI Calculator'!C21)))</f>
        <v>-</v>
      </c>
      <c r="D40" s="52" t="str">
        <f>IF(SUM(D10*($C$14/100))=0,"",IF(D20+'Cost of Production'!$C$31-' LPI Calculator'!D21&lt;0,"-",SUM(D20+'Cost of Production'!$C$31-' LPI Calculator'!D21)))</f>
        <v>-</v>
      </c>
      <c r="E40" s="52" t="str">
        <f>IF(SUM(E10*($C$14/100))=0,"",IF(E20+'Cost of Production'!$C$31-' LPI Calculator'!E21&lt;0,"-",SUM(E20+'Cost of Production'!$C$31-' LPI Calculator'!E21)))</f>
        <v>-</v>
      </c>
      <c r="F40" s="52" t="str">
        <f>IF(SUM(F10*($C$14/100))=0,"",IF(F20+'Cost of Production'!$C$31-' LPI Calculator'!F21&lt;0,"-",SUM(F20+'Cost of Production'!$C$31-' LPI Calculator'!F21)))</f>
        <v>-</v>
      </c>
      <c r="G40" s="52" t="str">
        <f>IF(SUM(G10*($C$14/100))=0,"",IF(G20+'Cost of Production'!$C$31-' LPI Calculator'!G21&lt;0,"-",SUM(G20+'Cost of Production'!$C$31-' LPI Calculator'!G21)))</f>
        <v>-</v>
      </c>
      <c r="H40" s="52" t="str">
        <f>IF(SUM(H10*($C$14/100))=0,"",IF(H20+'Cost of Production'!$C$31-' LPI Calculator'!H21&lt;0,"-",SUM(H20+'Cost of Production'!$C$31-' LPI Calculator'!H21)))</f>
        <v>-</v>
      </c>
      <c r="I40" s="52" t="str">
        <f>IF(SUM(I10*($C$14/100))=0,"",IF(I20+'Cost of Production'!$C$31-' LPI Calculator'!I21&lt;0,"-",SUM(I20+'Cost of Production'!$C$31-' LPI Calculator'!I21)))</f>
        <v>-</v>
      </c>
      <c r="J40" s="52" t="str">
        <f>IF(SUM(J10*($C$14/100))=0,"",IF(J20+'Cost of Production'!$C$31-' LPI Calculator'!J21&lt;0,"-",SUM(J20+'Cost of Production'!$C$31-' LPI Calculator'!J21)))</f>
        <v>-</v>
      </c>
      <c r="K40" s="52" t="str">
        <f>IF(SUM(K10*($C$14/100))=0,"",IF(K20+'Cost of Production'!$C$31-' LPI Calculator'!K21&lt;0,"-",SUM(K20+'Cost of Production'!$C$31-' LPI Calculator'!K21)))</f>
        <v>-</v>
      </c>
      <c r="L40" s="52" t="str">
        <f>IF(SUM(L10*($C$14/100))=0,"",IF(L20+'Cost of Production'!$C$31-' LPI Calculator'!L21&lt;0,"-",SUM(L20+'Cost of Production'!$C$31-' LPI Calculator'!L21)))</f>
        <v>-</v>
      </c>
      <c r="M40" s="52" t="str">
        <f>IF(SUM(M10*($C$14/100))=0,"",IF(M20+'Cost of Production'!$C$31-' LPI Calculator'!M21&lt;0,"-",SUM(M20+'Cost of Production'!$C$31-' LPI Calculator'!M21)))</f>
        <v>-</v>
      </c>
      <c r="N40" s="52" t="str">
        <f>IF(SUM(N10*($C$14/100))=0,"",IF(N20+'Cost of Production'!$C$31-' LPI Calculator'!N21&lt;0,"-",SUM(N20+'Cost of Production'!$C$31-' LPI Calculator'!N21)))</f>
        <v>-</v>
      </c>
      <c r="O40" s="52" t="str">
        <f>IF(SUM(O10*($C$14/100))=0,"",IF(O20+'Cost of Production'!$C$31-' LPI Calculator'!O21&lt;0,"-",SUM(O20+'Cost of Production'!$C$31-' LPI Calculator'!O21)))</f>
        <v>-</v>
      </c>
      <c r="P40" s="52" t="str">
        <f>IF(SUM(P10*($C$14/100))=0,"",IF(P20+'Cost of Production'!$C$31-' LPI Calculator'!P21&lt;0,"-",SUM(P20+'Cost of Production'!$C$31-' LPI Calculator'!P21)))</f>
        <v>-</v>
      </c>
      <c r="Q40" s="52" t="str">
        <f>IF(SUM(Q10*($C$14/100))=0,"",IF(Q20+'Cost of Production'!$C$31-' LPI Calculator'!Q21&lt;0,"-",SUM(Q20+'Cost of Production'!$C$31-' LPI Calculator'!Q21)))</f>
        <v>-</v>
      </c>
      <c r="R40" s="52" t="str">
        <f>IF(SUM(R10*($C$14/100))=0,"",IF(R20+'Cost of Production'!$C$31-' LPI Calculator'!R21&lt;0,"-",SUM(R20+'Cost of Production'!$C$31-' LPI Calculator'!R21)))</f>
        <v/>
      </c>
      <c r="S40" s="52" t="str">
        <f>IF(SUM(S10*($C$14/100))=0,"",IF(S20+'Cost of Production'!$C$31-' LPI Calculator'!S21&lt;0,"-",SUM(S20+'Cost of Production'!$C$31-' LPI Calculator'!S21)))</f>
        <v/>
      </c>
      <c r="T40" s="52" t="str">
        <f>IF(SUM(T10*($C$14/100))=0,"",IF(T20+'Cost of Production'!$C$31-' LPI Calculator'!T21&lt;0,"-",SUM(T20+'Cost of Production'!$C$31-' LPI Calculator'!T21)))</f>
        <v/>
      </c>
      <c r="U40" s="52" t="str">
        <f>IF(SUM(U10*($C$14/100))=0,"",IF(U20+'Cost of Production'!$C$31-' LPI Calculator'!U21&lt;0,"-",SUM(U20+'Cost of Production'!$C$31-' LPI Calculator'!U21)))</f>
        <v/>
      </c>
      <c r="V40" s="52" t="str">
        <f>IF(SUM(V10*($C$14/100))=0,"",IF(V20+'Cost of Production'!$C$31-' LPI Calculator'!V21&lt;0,"-",SUM(V20+'Cost of Production'!$C$31-' LPI Calculator'!V21)))</f>
        <v/>
      </c>
    </row>
    <row r="41" spans="1:27" x14ac:dyDescent="0.3">
      <c r="B41" s="3" t="s">
        <v>47</v>
      </c>
      <c r="C41" s="52" t="str">
        <f>IF(SUM(C10*($C$14/100))=0,"",IF(C20+'Cost of Production'!$C$31+'Cost of Production'!$C$44-' LPI Calculator'!C21&lt;0,"-",SUM(C20+'Cost of Production'!$C$31+'Cost of Production'!$C$44-' LPI Calculator'!C21)))</f>
        <v>-</v>
      </c>
      <c r="D41" s="52" t="str">
        <f>IF(SUM(D10*($C$14/100))=0,"",IF(D20+'Cost of Production'!$C$31+'Cost of Production'!$C$44-' LPI Calculator'!D21&lt;0,"-",SUM(D20+'Cost of Production'!$C$31+'Cost of Production'!$C$44-' LPI Calculator'!D21)))</f>
        <v>-</v>
      </c>
      <c r="E41" s="52" t="str">
        <f>IF(SUM(E10*($C$14/100))=0,"",IF(E20+'Cost of Production'!$C$31+'Cost of Production'!$C$44-' LPI Calculator'!E21&lt;0,"-",SUM(E20+'Cost of Production'!$C$31+'Cost of Production'!$C$44-' LPI Calculator'!E21)))</f>
        <v>-</v>
      </c>
      <c r="F41" s="52" t="str">
        <f>IF(SUM(F10*($C$14/100))=0,"",IF(F20+'Cost of Production'!$C$31+'Cost of Production'!$C$44-' LPI Calculator'!F21&lt;0,"-",SUM(F20+'Cost of Production'!$C$31+'Cost of Production'!$C$44-' LPI Calculator'!F21)))</f>
        <v>-</v>
      </c>
      <c r="G41" s="52" t="str">
        <f>IF(SUM(G10*($C$14/100))=0,"",IF(G20+'Cost of Production'!$C$31+'Cost of Production'!$C$44-' LPI Calculator'!G21&lt;0,"-",SUM(G20+'Cost of Production'!$C$31+'Cost of Production'!$C$44-' LPI Calculator'!G21)))</f>
        <v>-</v>
      </c>
      <c r="H41" s="52" t="str">
        <f>IF(SUM(H10*($C$14/100))=0,"",IF(H20+'Cost of Production'!$C$31+'Cost of Production'!$C$44-' LPI Calculator'!H21&lt;0,"-",SUM(H20+'Cost of Production'!$C$31+'Cost of Production'!$C$44-' LPI Calculator'!H21)))</f>
        <v>-</v>
      </c>
      <c r="I41" s="52" t="str">
        <f>IF(SUM(I10*($C$14/100))=0,"",IF(I20+'Cost of Production'!$C$31+'Cost of Production'!$C$44-' LPI Calculator'!I21&lt;0,"-",SUM(I20+'Cost of Production'!$C$31+'Cost of Production'!$C$44-' LPI Calculator'!I21)))</f>
        <v>-</v>
      </c>
      <c r="J41" s="52" t="str">
        <f>IF(SUM(J10*($C$14/100))=0,"",IF(J20+'Cost of Production'!$C$31+'Cost of Production'!$C$44-' LPI Calculator'!J21&lt;0,"-",SUM(J20+'Cost of Production'!$C$31+'Cost of Production'!$C$44-' LPI Calculator'!J21)))</f>
        <v>-</v>
      </c>
      <c r="K41" s="52" t="str">
        <f>IF(SUM(K10*($C$14/100))=0,"",IF(K20+'Cost of Production'!$C$31+'Cost of Production'!$C$44-' LPI Calculator'!K21&lt;0,"-",SUM(K20+'Cost of Production'!$C$31+'Cost of Production'!$C$44-' LPI Calculator'!K21)))</f>
        <v>-</v>
      </c>
      <c r="L41" s="52" t="str">
        <f>IF(SUM(L10*($C$14/100))=0,"",IF(L20+'Cost of Production'!$C$31+'Cost of Production'!$C$44-' LPI Calculator'!L21&lt;0,"-",SUM(L20+'Cost of Production'!$C$31+'Cost of Production'!$C$44-' LPI Calculator'!L21)))</f>
        <v>-</v>
      </c>
      <c r="M41" s="52" t="str">
        <f>IF(SUM(M10*($C$14/100))=0,"",IF(M20+'Cost of Production'!$C$31+'Cost of Production'!$C$44-' LPI Calculator'!M21&lt;0,"-",SUM(M20+'Cost of Production'!$C$31+'Cost of Production'!$C$44-' LPI Calculator'!M21)))</f>
        <v>-</v>
      </c>
      <c r="N41" s="52" t="str">
        <f>IF(SUM(N10*($C$14/100))=0,"",IF(N20+'Cost of Production'!$C$31+'Cost of Production'!$C$44-' LPI Calculator'!N21&lt;0,"-",SUM(N20+'Cost of Production'!$C$31+'Cost of Production'!$C$44-' LPI Calculator'!N21)))</f>
        <v>-</v>
      </c>
      <c r="O41" s="52" t="str">
        <f>IF(SUM(O10*($C$14/100))=0,"",IF(O20+'Cost of Production'!$C$31+'Cost of Production'!$C$44-' LPI Calculator'!O21&lt;0,"-",SUM(O20+'Cost of Production'!$C$31+'Cost of Production'!$C$44-' LPI Calculator'!O21)))</f>
        <v>-</v>
      </c>
      <c r="P41" s="52" t="str">
        <f>IF(SUM(P10*($C$14/100))=0,"",IF(P20+'Cost of Production'!$C$31+'Cost of Production'!$C$44-' LPI Calculator'!P21&lt;0,"-",SUM(P20+'Cost of Production'!$C$31+'Cost of Production'!$C$44-' LPI Calculator'!P21)))</f>
        <v>-</v>
      </c>
      <c r="Q41" s="52" t="str">
        <f>IF(SUM(Q10*($C$14/100))=0,"",IF(Q20+'Cost of Production'!$C$31+'Cost of Production'!$C$44-' LPI Calculator'!Q21&lt;0,"-",SUM(Q20+'Cost of Production'!$C$31+'Cost of Production'!$C$44-' LPI Calculator'!Q21)))</f>
        <v>-</v>
      </c>
      <c r="R41" s="52" t="str">
        <f>IF(SUM(R10*($C$14/100))=0,"",IF(R20+'Cost of Production'!$C$31+'Cost of Production'!$C$46-' LPI Calculator'!R21&lt;0,"-",SUM(R20+'Cost of Production'!$C$31+'Cost of Production'!$C$46-' LPI Calculator'!R21)))</f>
        <v/>
      </c>
      <c r="S41" s="52" t="str">
        <f>IF(SUM(S10*($C$14/100))=0,"",IF(S20+'Cost of Production'!$C$31+'Cost of Production'!$C$46-' LPI Calculator'!S21&lt;0,"-",SUM(S20+'Cost of Production'!$C$31+'Cost of Production'!$C$46-' LPI Calculator'!S21)))</f>
        <v/>
      </c>
      <c r="T41" s="52" t="str">
        <f>IF(SUM(T10*($C$14/100))=0,"",IF(T20+'Cost of Production'!$C$31+'Cost of Production'!$C$46-' LPI Calculator'!T21&lt;0,"-",SUM(T20+'Cost of Production'!$C$31+'Cost of Production'!$C$46-' LPI Calculator'!T21)))</f>
        <v/>
      </c>
      <c r="U41" s="52" t="str">
        <f>IF(SUM(U10*($C$14/100))=0,"",IF(U20+'Cost of Production'!$C$31+'Cost of Production'!$C$46-' LPI Calculator'!U21&lt;0,"-",SUM(U20+'Cost of Production'!$C$31+'Cost of Production'!$C$46-' LPI Calculator'!U21)))</f>
        <v/>
      </c>
      <c r="V41" s="52" t="str">
        <f>IF(SUM(V10*($C$14/100))=0,"",IF(V20+'Cost of Production'!$C$31+'Cost of Production'!$C$46-' LPI Calculator'!V21&lt;0,"-",SUM(V20+'Cost of Production'!$C$31+'Cost of Production'!$C$46-' LPI Calculator'!V21)))</f>
        <v/>
      </c>
    </row>
    <row r="42" spans="1:27" x14ac:dyDescent="0.3">
      <c r="B42" s="3" t="s">
        <v>39</v>
      </c>
      <c r="C42" s="52" t="str">
        <f>IF(SUM(C10*($C$14/100))=0,"",IF(C20+'Cost of Production'!$C$42-' LPI Calculator'!C21&lt;0,"-",SUM(C20+'Cost of Production'!$C$42-' LPI Calculator'!C21)))</f>
        <v>-</v>
      </c>
      <c r="D42" s="52" t="str">
        <f>IF(SUM(D10*($C$14/100))=0,"",IF(D20+'Cost of Production'!$C$42-' LPI Calculator'!D21&lt;0,"-",SUM(D20+'Cost of Production'!$C$42-' LPI Calculator'!D21)))</f>
        <v>-</v>
      </c>
      <c r="E42" s="52" t="str">
        <f>IF(SUM(E10*($C$14/100))=0,"",IF(E20+'Cost of Production'!$C$42-' LPI Calculator'!E21&lt;0,"-",SUM(E20+'Cost of Production'!$C$42-' LPI Calculator'!E21)))</f>
        <v>-</v>
      </c>
      <c r="F42" s="52" t="str">
        <f>IF(SUM(F10*($C$14/100))=0,"",IF(F20+'Cost of Production'!$C$42-' LPI Calculator'!F21&lt;0,"-",SUM(F20+'Cost of Production'!$C$42-' LPI Calculator'!F21)))</f>
        <v>-</v>
      </c>
      <c r="G42" s="52" t="str">
        <f>IF(SUM(G10*($C$14/100))=0,"",IF(G20+'Cost of Production'!$C$42-' LPI Calculator'!G21&lt;0,"-",SUM(G20+'Cost of Production'!$C$42-' LPI Calculator'!G21)))</f>
        <v>-</v>
      </c>
      <c r="H42" s="52" t="str">
        <f>IF(SUM(H10*($C$14/100))=0,"",IF(H20+'Cost of Production'!$C$42-' LPI Calculator'!H21&lt;0,"-",SUM(H20+'Cost of Production'!$C$42-' LPI Calculator'!H21)))</f>
        <v>-</v>
      </c>
      <c r="I42" s="52" t="str">
        <f>IF(SUM(I10*($C$14/100))=0,"",IF(I20+'Cost of Production'!$C$42-' LPI Calculator'!I21&lt;0,"-",SUM(I20+'Cost of Production'!$C$42-' LPI Calculator'!I21)))</f>
        <v>-</v>
      </c>
      <c r="J42" s="52" t="str">
        <f>IF(SUM(J10*($C$14/100))=0,"",IF(J20+'Cost of Production'!$C$42-' LPI Calculator'!J21&lt;0,"-",SUM(J20+'Cost of Production'!$C$42-' LPI Calculator'!J21)))</f>
        <v>-</v>
      </c>
      <c r="K42" s="52" t="str">
        <f>IF(SUM(K10*($C$14/100))=0,"",IF(K20+'Cost of Production'!$C$42-' LPI Calculator'!K21&lt;0,"-",SUM(K20+'Cost of Production'!$C$42-' LPI Calculator'!K21)))</f>
        <v>-</v>
      </c>
      <c r="L42" s="52" t="str">
        <f>IF(SUM(L10*($C$14/100))=0,"",IF(L20+'Cost of Production'!$C$42-' LPI Calculator'!L21&lt;0,"-",SUM(L20+'Cost of Production'!$C$42-' LPI Calculator'!L21)))</f>
        <v>-</v>
      </c>
      <c r="M42" s="52" t="str">
        <f>IF(SUM(M10*($C$14/100))=0,"",IF(M20+'Cost of Production'!$C$42-' LPI Calculator'!M21&lt;0,"-",SUM(M20+'Cost of Production'!$C$42-' LPI Calculator'!M21)))</f>
        <v>-</v>
      </c>
      <c r="N42" s="52" t="str">
        <f>IF(SUM(N10*($C$14/100))=0,"",IF(N20+'Cost of Production'!$C$42-' LPI Calculator'!N21&lt;0,"-",SUM(N20+'Cost of Production'!$C$42-' LPI Calculator'!N21)))</f>
        <v>-</v>
      </c>
      <c r="O42" s="52" t="str">
        <f>IF(SUM(O10*($C$14/100))=0,"",IF(O20+'Cost of Production'!$C$42-' LPI Calculator'!O21&lt;0,"-",SUM(O20+'Cost of Production'!$C$42-' LPI Calculator'!O21)))</f>
        <v>-</v>
      </c>
      <c r="P42" s="52" t="str">
        <f>IF(SUM(P10*($C$14/100))=0,"",IF(P20+'Cost of Production'!$C$42-' LPI Calculator'!P21&lt;0,"-",SUM(P20+'Cost of Production'!$C$42-' LPI Calculator'!P21)))</f>
        <v>-</v>
      </c>
      <c r="Q42" s="52" t="str">
        <f>IF(SUM(Q10*($C$14/100))=0,"",IF(Q20+'Cost of Production'!$C$42-' LPI Calculator'!Q21&lt;0,"-",SUM(Q20+'Cost of Production'!$C$42-' LPI Calculator'!Q21)))</f>
        <v>-</v>
      </c>
      <c r="R42" s="52" t="str">
        <f>IF(SUM(R10*($C$14/100))=0,"",IF(R20+'Cost of Production'!$C$44-' LPI Calculator'!R21&lt;0,"-",SUM(R20+'Cost of Production'!$C$44-' LPI Calculator'!R21)))</f>
        <v/>
      </c>
      <c r="S42" s="52" t="str">
        <f>IF(SUM(S10*($C$14/100))=0,"",IF(S20+'Cost of Production'!$C$44-' LPI Calculator'!S21&lt;0,"-",SUM(S20+'Cost of Production'!$C$44-' LPI Calculator'!S21)))</f>
        <v/>
      </c>
      <c r="T42" s="52" t="str">
        <f>IF(SUM(T10*($C$14/100))=0,"",IF(T20+'Cost of Production'!$C$44-' LPI Calculator'!T21&lt;0,"-",SUM(T20+'Cost of Production'!$C$44-' LPI Calculator'!T21)))</f>
        <v/>
      </c>
      <c r="U42" s="52" t="str">
        <f>IF(SUM(U10*($C$14/100))=0,"",IF(U20+'Cost of Production'!$C$44-' LPI Calculator'!U21&lt;0,"-",SUM(U20+'Cost of Production'!$C$44-' LPI Calculator'!U21)))</f>
        <v/>
      </c>
      <c r="V42" s="52" t="str">
        <f>IF(SUM(V10*($C$14/100))=0,"",IF(V20+'Cost of Production'!$C$44-' LPI Calculator'!V21&lt;0,"-",SUM(V20+'Cost of Production'!$C$44-' LPI Calculator'!V21)))</f>
        <v/>
      </c>
    </row>
    <row r="43" spans="1:27" x14ac:dyDescent="0.3">
      <c r="B43" s="1" t="s">
        <v>40</v>
      </c>
      <c r="C43" s="41" t="str">
        <f>IF(SUM(C10*($C$14/100))=0,"",IF(C20+'Cost of Production'!$C$46-' LPI Calculator'!C21&lt;0,"-",SUM(C20+'Cost of Production'!$C$46-' LPI Calculator'!C21)))</f>
        <v>-</v>
      </c>
      <c r="D43" s="41" t="str">
        <f>IF(SUM(D10*($C$14/100))=0,"",IF(D20+'Cost of Production'!$C$46-' LPI Calculator'!D21&lt;0,"-",SUM(D20+'Cost of Production'!$C$46-' LPI Calculator'!D21)))</f>
        <v>-</v>
      </c>
      <c r="E43" s="41" t="str">
        <f>IF(SUM(E10*($C$14/100))=0,"",IF(E20+'Cost of Production'!$C$46-' LPI Calculator'!E21&lt;0,"-",SUM(E20+'Cost of Production'!$C$46-' LPI Calculator'!E21)))</f>
        <v>-</v>
      </c>
      <c r="F43" s="41" t="str">
        <f>IF(SUM(F10*($C$14/100))=0,"",IF(F20+'Cost of Production'!$C$46-' LPI Calculator'!F21&lt;0,"-",SUM(F20+'Cost of Production'!$C$46-' LPI Calculator'!F21)))</f>
        <v>-</v>
      </c>
      <c r="G43" s="41" t="str">
        <f>IF(SUM(G10*($C$14/100))=0,"",IF(G20+'Cost of Production'!$C$46-' LPI Calculator'!G21&lt;0,"-",SUM(G20+'Cost of Production'!$C$46-' LPI Calculator'!G21)))</f>
        <v>-</v>
      </c>
      <c r="H43" s="41" t="str">
        <f>IF(SUM(H10*($C$14/100))=0,"",IF(H20+'Cost of Production'!$C$46-' LPI Calculator'!H21&lt;0,"-",SUM(H20+'Cost of Production'!$C$46-' LPI Calculator'!H21)))</f>
        <v>-</v>
      </c>
      <c r="I43" s="41" t="str">
        <f>IF(SUM(I10*($C$14/100))=0,"",IF(I20+'Cost of Production'!$C$46-' LPI Calculator'!I21&lt;0,"-",SUM(I20+'Cost of Production'!$C$46-' LPI Calculator'!I21)))</f>
        <v>-</v>
      </c>
      <c r="J43" s="41" t="str">
        <f>IF(SUM(J10*($C$14/100))=0,"",IF(J20+'Cost of Production'!$C$46-' LPI Calculator'!J21&lt;0,"-",SUM(J20+'Cost of Production'!$C$46-' LPI Calculator'!J21)))</f>
        <v>-</v>
      </c>
      <c r="K43" s="41" t="str">
        <f>IF(SUM(K10*($C$14/100))=0,"",IF(K20+'Cost of Production'!$C$46-' LPI Calculator'!K21&lt;0,"-",SUM(K20+'Cost of Production'!$C$46-' LPI Calculator'!K21)))</f>
        <v>-</v>
      </c>
      <c r="L43" s="41" t="str">
        <f>IF(SUM(L10*($C$14/100))=0,"",IF(L20+'Cost of Production'!$C$46-' LPI Calculator'!L21&lt;0,"-",SUM(L20+'Cost of Production'!$C$46-' LPI Calculator'!L21)))</f>
        <v>-</v>
      </c>
      <c r="M43" s="41" t="str">
        <f>IF(SUM(M10*($C$14/100))=0,"",IF(M20+'Cost of Production'!$C$46-' LPI Calculator'!M21&lt;0,"-",SUM(M20+'Cost of Production'!$C$46-' LPI Calculator'!M21)))</f>
        <v>-</v>
      </c>
      <c r="N43" s="41" t="str">
        <f>IF(SUM(N10*($C$14/100))=0,"",IF(N20+'Cost of Production'!$C$46-' LPI Calculator'!N21&lt;0,"-",SUM(N20+'Cost of Production'!$C$46-' LPI Calculator'!N21)))</f>
        <v>-</v>
      </c>
      <c r="O43" s="41" t="str">
        <f>IF(SUM(O10*($C$14/100))=0,"",IF(O20+'Cost of Production'!$C$46-' LPI Calculator'!O21&lt;0,"-",SUM(O20+'Cost of Production'!$C$46-' LPI Calculator'!O21)))</f>
        <v>-</v>
      </c>
      <c r="P43" s="41" t="str">
        <f>IF(SUM(P10*($C$14/100))=0,"",IF(P20+'Cost of Production'!$C$46-' LPI Calculator'!P21&lt;0,"-",SUM(P20+'Cost of Production'!$C$46-' LPI Calculator'!P21)))</f>
        <v>-</v>
      </c>
      <c r="Q43" s="41" t="str">
        <f>IF(SUM(Q10*($C$14/100))=0,"",IF(Q20+'Cost of Production'!$C$46-' LPI Calculator'!Q21&lt;0,"-",SUM(Q20+'Cost of Production'!$C$46-' LPI Calculator'!Q21)))</f>
        <v>-</v>
      </c>
      <c r="R43" s="41" t="str">
        <f>IF(SUM(R10*($C$14/100))=0,"",IF(R20+'Cost of Production'!$C$48-' LPI Calculator'!R21&lt;0,"-",SUM(R20+'Cost of Production'!$C$48-' LPI Calculator'!R21)))</f>
        <v/>
      </c>
      <c r="S43" s="41" t="str">
        <f>IF(SUM(S10*($C$14/100))=0,"",IF(S20+'Cost of Production'!$C$48-' LPI Calculator'!S21&lt;0,"-",SUM(S20+'Cost of Production'!$C$48-' LPI Calculator'!S21)))</f>
        <v/>
      </c>
      <c r="T43" s="41" t="str">
        <f>IF(SUM(T10*($C$14/100))=0,"",IF(T20+'Cost of Production'!$C$48-' LPI Calculator'!T21&lt;0,"-",SUM(T20+'Cost of Production'!$C$48-' LPI Calculator'!T21)))</f>
        <v/>
      </c>
      <c r="U43" s="41" t="str">
        <f>IF(SUM(U10*($C$14/100))=0,"",IF(U20+'Cost of Production'!$C$48-' LPI Calculator'!U21&lt;0,"-",SUM(U20+'Cost of Production'!$C$48-' LPI Calculator'!U21)))</f>
        <v/>
      </c>
      <c r="V43" s="41" t="str">
        <f>IF(SUM(V10*($C$14/100))=0,"",IF(V20+'Cost of Production'!$C$48-' LPI Calculator'!V21&lt;0,"-",SUM(V20+'Cost of Production'!$C$48-' LPI Calculator'!V21)))</f>
        <v/>
      </c>
    </row>
    <row r="44" spans="1:27" ht="7.5" customHeight="1" x14ac:dyDescent="0.3">
      <c r="C44" s="41"/>
      <c r="D44" s="41"/>
      <c r="E44" s="41"/>
      <c r="F44" s="41"/>
      <c r="G44" s="41"/>
      <c r="H44" s="41"/>
      <c r="I44" s="41"/>
      <c r="J44" s="41"/>
      <c r="K44" s="41"/>
      <c r="L44" s="41"/>
      <c r="M44" s="41"/>
      <c r="N44" s="41"/>
      <c r="O44" s="41"/>
      <c r="P44" s="41"/>
      <c r="Q44" s="41"/>
      <c r="R44" s="41"/>
      <c r="S44" s="41"/>
      <c r="T44" s="41"/>
      <c r="U44" s="41"/>
      <c r="V44" s="41"/>
    </row>
    <row r="45" spans="1:27" x14ac:dyDescent="0.3">
      <c r="A45" s="141" t="s">
        <v>106</v>
      </c>
      <c r="B45" s="141"/>
      <c r="C45" s="141"/>
      <c r="D45" s="141"/>
      <c r="E45" s="141"/>
      <c r="F45" s="141"/>
      <c r="G45" s="141"/>
      <c r="H45" s="141"/>
      <c r="I45" s="141"/>
      <c r="J45" s="141"/>
      <c r="K45" s="141"/>
      <c r="L45" s="141"/>
      <c r="M45" s="141"/>
      <c r="N45" s="141"/>
      <c r="O45" s="141"/>
      <c r="P45" s="141"/>
      <c r="Q45" s="141"/>
      <c r="R45" s="141"/>
      <c r="S45" s="141"/>
      <c r="T45" s="141"/>
      <c r="U45" s="141"/>
      <c r="V45" s="141"/>
      <c r="W45" s="1"/>
      <c r="X45" s="1"/>
      <c r="Y45" s="1"/>
      <c r="Z45" s="1"/>
      <c r="AA45" s="1"/>
    </row>
    <row r="46" spans="1:27" ht="7.5" customHeight="1" x14ac:dyDescent="0.3">
      <c r="A46" s="45"/>
      <c r="B46" s="45"/>
      <c r="C46" s="45"/>
      <c r="D46" s="45"/>
      <c r="E46" s="45"/>
      <c r="F46" s="45"/>
      <c r="G46" s="45"/>
      <c r="H46" s="45"/>
      <c r="I46" s="45"/>
      <c r="J46" s="45"/>
      <c r="K46" s="45"/>
      <c r="L46" s="45"/>
      <c r="M46" s="45"/>
      <c r="N46" s="45"/>
      <c r="O46" s="45"/>
      <c r="P46" s="45"/>
      <c r="Q46" s="45"/>
      <c r="R46" s="45"/>
      <c r="S46" s="45"/>
      <c r="T46" s="45"/>
      <c r="U46" s="45"/>
      <c r="V46" s="45"/>
      <c r="W46" s="1"/>
      <c r="X46" s="1"/>
      <c r="Y46" s="1"/>
      <c r="Z46" s="1"/>
      <c r="AA46" s="1"/>
    </row>
    <row r="47" spans="1:27" x14ac:dyDescent="0.3">
      <c r="A47" s="12" t="str">
        <f>"Marginal Returns (based on Est. Settlement Price @ $"&amp;I14&amp;"/cwt + LPIP Payment per head)"</f>
        <v>Marginal Returns (based on Est. Settlement Price @ $280/cwt + LPIP Payment per head)</v>
      </c>
      <c r="B47" s="12"/>
      <c r="C47" s="6"/>
      <c r="D47" s="6"/>
      <c r="E47" s="6"/>
      <c r="F47" s="6"/>
      <c r="G47" s="6"/>
      <c r="H47" s="6"/>
      <c r="I47" s="6"/>
      <c r="J47" s="6"/>
    </row>
    <row r="48" spans="1:27" x14ac:dyDescent="0.3">
      <c r="A48" s="4"/>
      <c r="B48" s="5" t="s">
        <v>0</v>
      </c>
      <c r="C48" s="66">
        <f>IF(SUM(C10*($C$14/100))=0,"",IF(ROUND(C9-$I$14,1)&lt;1,(($I$14/100)*$C$14)-('Cost of Production'!$C$31+C20),((($I$14/100)*$C$14)+C36)-('Cost of Production'!$C$31+C20)))</f>
        <v>295.44279999999981</v>
      </c>
      <c r="D48" s="66">
        <f>IF(SUM(D10*($C$14/100))=0,"",IF(ROUND(D9-$I$14,1)&lt;1,(($I$14/100)*$C$14)-('Cost of Production'!$C$31+D20),((($I$14/100)*$C$14)+D36)-('Cost of Production'!$C$31+D20)))</f>
        <v>280.60179999999991</v>
      </c>
      <c r="E48" s="66">
        <f>IF(SUM(E10*($C$14/100))=0,"",IF(ROUND(E9-$I$14,1)&lt;1,(($I$14/100)*$C$14)-('Cost of Production'!$C$31+E20),((($I$14/100)*$C$14)+E36)-('Cost of Production'!$C$31+E20)))</f>
        <v>264.97509999999966</v>
      </c>
      <c r="F48" s="66">
        <f>IF(SUM(F10*($C$14/100))=0,"",IF(ROUND(F9-$I$14,1)&lt;1,(($I$14/100)*$C$14)-('Cost of Production'!$C$31+F20),((($I$14/100)*$C$14)+F36)-('Cost of Production'!$C$31+F20)))</f>
        <v>250.74519999999984</v>
      </c>
      <c r="G48" s="66">
        <f>IF(SUM(G10*($C$14/100))=0,"",IF(ROUND(G9-$I$14,1)&lt;1,(($I$14/100)*$C$14)-('Cost of Production'!$C$31+G20),((($I$14/100)*$C$14)+G36)-('Cost of Production'!$C$31+G20)))</f>
        <v>235.55499999999984</v>
      </c>
      <c r="H48" s="66">
        <f>IF(SUM(H10*($C$14/100))=0,"",IF(ROUND(H9-$I$14,1)&lt;1,(($I$14/100)*$C$14)-('Cost of Production'!$C$31+H20),((($I$14/100)*$C$14)+H36)-('Cost of Production'!$C$31+H20)))</f>
        <v>219.92829999999958</v>
      </c>
      <c r="I48" s="66">
        <f>IF(SUM(I10*($C$14/100))=0,"",IF(ROUND(I9-$I$14,1)&lt;1,(($I$14/100)*$C$14)-('Cost of Production'!$C$31+I20),((($I$14/100)*$C$14)+I36)-('Cost of Production'!$C$31+I20)))</f>
        <v>204.73809999999958</v>
      </c>
      <c r="J48" s="66">
        <f>IF(SUM(J10*($C$14/100))=0,"",IF(ROUND(J9-$I$14,1)&lt;1,(($I$14/100)*$C$14)-('Cost of Production'!$C$31+J20),((($I$14/100)*$C$14)+J36)-('Cost of Production'!$C$31+J20)))</f>
        <v>189.11139999999978</v>
      </c>
      <c r="K48" s="66">
        <f>IF(SUM(K10*($C$14/100))=0,"",IF(ROUND(K9-$I$14,1)&lt;1,(($I$14/100)*$C$14)-('Cost of Production'!$C$31+K20),((($I$14/100)*$C$14)+K36)-('Cost of Production'!$C$31+K20)))</f>
        <v>173.92119999999977</v>
      </c>
      <c r="L48" s="66">
        <f>IF(SUM(L10*($C$14/100))=0,"",IF(ROUND(L9-$I$14,1)&lt;1,(($I$14/100)*$C$14)-('Cost of Production'!$C$31+L20),((($I$14/100)*$C$14)+L36)-('Cost of Production'!$C$31+L20)))</f>
        <v>158.55639999999994</v>
      </c>
      <c r="M48" s="66">
        <f>IF(SUM(M10*($C$14/100))=0,"",IF(ROUND(M9-$I$14,1)&lt;1,(($I$14/100)*$C$14)-('Cost of Production'!$C$31+M20),((($I$14/100)*$C$14)+M36)-('Cost of Production'!$C$31+M20)))</f>
        <v>142.8424</v>
      </c>
      <c r="N48" s="66">
        <f>IF(SUM(N10*($C$14/100))=0,"",IF(ROUND(N9-$I$14,1)&lt;1,(($I$14/100)*$C$14)-('Cost of Production'!$C$31+N20),((($I$14/100)*$C$14)+N36)-('Cost of Production'!$C$31+N20)))</f>
        <v>127.82679999999982</v>
      </c>
      <c r="O48" s="66">
        <f>IF(SUM(O10*($C$14/100))=0,"",IF(ROUND(O9-$I$14,1)&lt;1,(($I$14/100)*$C$14)-('Cost of Production'!$C$31+O20),((($I$14/100)*$C$14)+O36)-('Cost of Production'!$C$31+O20)))</f>
        <v>112.20010000000002</v>
      </c>
      <c r="P48" s="66">
        <f>IF(SUM(P10*($C$14/100))=0,"",IF(ROUND(P9-$I$14,1)&lt;1,(($I$14/100)*$C$14)-('Cost of Production'!$C$31+P20),((($I$14/100)*$C$14)+P36)-('Cost of Production'!$C$31+P20)))</f>
        <v>95.351200000000063</v>
      </c>
      <c r="Q48" s="66">
        <f>IF(SUM(Q10*($C$14/100))=0,"",IF(ROUND(Q9-$I$14,1)&lt;1,(($I$14/100)*$C$14)-('Cost of Production'!$C$31+Q20),((($I$14/100)*$C$14)+Q36)-('Cost of Production'!$C$31+Q20)))</f>
        <v>79.899099999999635</v>
      </c>
      <c r="R48" s="66" t="str">
        <f>IF(SUM(R10*($C$14/100))=0,"",IF(ROUND(R9-$I$14,1)&lt;1,(($I$14/100)*$C$14)-('Cost of Production'!$C$31+R20),((($I$14/100)*$C$14)+R36)-('Cost of Production'!$C$31+R20)))</f>
        <v/>
      </c>
      <c r="S48" s="66" t="str">
        <f>IF(SUM(S10*($C$14/100))=0,"",IF(ROUND(S9-$I$14,1)&lt;1,(($I$14/100)*$C$14)-('Cost of Production'!$C$31+S20),((($I$14/100)*$C$14)+S36)-('Cost of Production'!$C$31+S20)))</f>
        <v/>
      </c>
      <c r="T48" s="66" t="str">
        <f>IF(SUM(T10*($C$14/100))=0,"",IF(ROUND(T9-$I$14,1)&lt;1,(($I$14/100)*$C$14)-('Cost of Production'!$C$31+T20),((($I$14/100)*$C$14)+T36)-('Cost of Production'!$C$31+T20)))</f>
        <v/>
      </c>
      <c r="U48" s="66" t="str">
        <f>IF(SUM(U10*($C$14/100))=0,"",IF(ROUND(U9-$I$14,1)&lt;1,(($I$14/100)*$C$14)-('Cost of Production'!$C$31+U20),((($I$14/100)*$C$14)+U36)-('Cost of Production'!$C$31+U20)))</f>
        <v/>
      </c>
      <c r="V48" s="66" t="str">
        <f>IF(SUM(V10*($C$14/100))=0,"",IF(ROUND(V9-$I$14,1)&lt;1,(($I$14/100)*$C$14)-('Cost of Production'!$C$31+V20),((($I$14/100)*$C$14)+V36)-('Cost of Production'!$C$31+V20)))</f>
        <v/>
      </c>
    </row>
    <row r="49" spans="1:27" x14ac:dyDescent="0.3">
      <c r="A49" s="4"/>
      <c r="B49" s="5" t="s">
        <v>1</v>
      </c>
      <c r="C49" s="66">
        <f>IF(SUM(C10*($C$14/100))=0,"",IF(ROUND(C9-$I$14,1)&lt;1,(($I$14/100)*$C$14)-('Cost of Production'!$C$31+'Cost of Production'!$C$44+C20),((($I$14/100)*$C$14)+C36)-('Cost of Production'!$C$31+'Cost of Production'!$C$44+C20)))</f>
        <v>268.44279999999981</v>
      </c>
      <c r="D49" s="66">
        <f>IF(SUM(D10*($C$14/100))=0,"",IF(ROUND(D9-$I$14,1)&lt;1,(($I$14/100)*$C$14)-('Cost of Production'!$C$31+'Cost of Production'!$C$44+D20),((($I$14/100)*$C$14)+D36)-('Cost of Production'!$C$31+'Cost of Production'!$C$44+D20)))</f>
        <v>253.60179999999991</v>
      </c>
      <c r="E49" s="66">
        <f>IF(SUM(E10*($C$14/100))=0,"",IF(ROUND(E9-$I$14,1)&lt;1,(($I$14/100)*$C$14)-('Cost of Production'!$C$31+'Cost of Production'!$C$44+E20),((($I$14/100)*$C$14)+E36)-('Cost of Production'!$C$31+'Cost of Production'!$C$44+E20)))</f>
        <v>237.97509999999966</v>
      </c>
      <c r="F49" s="66">
        <f>IF(SUM(F10*($C$14/100))=0,"",IF(ROUND(F9-$I$14,1)&lt;1,(($I$14/100)*$C$14)-('Cost of Production'!$C$31+'Cost of Production'!$C$44+F20),((($I$14/100)*$C$14)+F36)-('Cost of Production'!$C$31+'Cost of Production'!$C$44+F20)))</f>
        <v>223.74519999999984</v>
      </c>
      <c r="G49" s="66">
        <f>IF(SUM(G10*($C$14/100))=0,"",IF(ROUND(G9-$I$14,1)&lt;1,(($I$14/100)*$C$14)-('Cost of Production'!$C$31+'Cost of Production'!$C$44+G20),((($I$14/100)*$C$14)+G36)-('Cost of Production'!$C$31+'Cost of Production'!$C$44+G20)))</f>
        <v>208.55499999999984</v>
      </c>
      <c r="H49" s="66">
        <f>IF(SUM(H10*($C$14/100))=0,"",IF(ROUND(H9-$I$14,1)&lt;1,(($I$14/100)*$C$14)-('Cost of Production'!$C$31+'Cost of Production'!$C$44+H20),((($I$14/100)*$C$14)+H36)-('Cost of Production'!$C$31+'Cost of Production'!$C$44+H20)))</f>
        <v>192.92829999999958</v>
      </c>
      <c r="I49" s="66">
        <f>IF(SUM(I10*($C$14/100))=0,"",IF(ROUND(I9-$I$14,1)&lt;1,(($I$14/100)*$C$14)-('Cost of Production'!$C$31+'Cost of Production'!$C$44+I20),((($I$14/100)*$C$14)+I36)-('Cost of Production'!$C$31+'Cost of Production'!$C$44+I20)))</f>
        <v>177.73809999999958</v>
      </c>
      <c r="J49" s="66">
        <f>IF(SUM(J10*($C$14/100))=0,"",IF(ROUND(J9-$I$14,1)&lt;1,(($I$14/100)*$C$14)-('Cost of Production'!$C$31+'Cost of Production'!$C$44+J20),((($I$14/100)*$C$14)+J36)-('Cost of Production'!$C$31+'Cost of Production'!$C$44+J20)))</f>
        <v>162.11139999999978</v>
      </c>
      <c r="K49" s="66">
        <f>IF(SUM(K10*($C$14/100))=0,"",IF(ROUND(K9-$I$14,1)&lt;1,(($I$14/100)*$C$14)-('Cost of Production'!$C$31+'Cost of Production'!$C$44+K20),((($I$14/100)*$C$14)+K36)-('Cost of Production'!$C$31+'Cost of Production'!$C$44+K20)))</f>
        <v>146.92119999999977</v>
      </c>
      <c r="L49" s="66">
        <f>IF(SUM(L10*($C$14/100))=0,"",IF(ROUND(L9-$I$14,1)&lt;1,(($I$14/100)*$C$14)-('Cost of Production'!$C$31+'Cost of Production'!$C$44+L20),((($I$14/100)*$C$14)+L36)-('Cost of Production'!$C$31+'Cost of Production'!$C$44+L20)))</f>
        <v>131.55639999999994</v>
      </c>
      <c r="M49" s="66">
        <f>IF(SUM(M10*($C$14/100))=0,"",IF(ROUND(M9-$I$14,1)&lt;1,(($I$14/100)*$C$14)-('Cost of Production'!$C$31+'Cost of Production'!$C$44+M20),((($I$14/100)*$C$14)+M36)-('Cost of Production'!$C$31+'Cost of Production'!$C$44+M20)))</f>
        <v>115.8424</v>
      </c>
      <c r="N49" s="66">
        <f>IF(SUM(N10*($C$14/100))=0,"",IF(ROUND(N9-$I$14,1)&lt;1,(($I$14/100)*$C$14)-('Cost of Production'!$C$31+'Cost of Production'!$C$44+N20),((($I$14/100)*$C$14)+N36)-('Cost of Production'!$C$31+'Cost of Production'!$C$44+N20)))</f>
        <v>100.82679999999982</v>
      </c>
      <c r="O49" s="66">
        <f>IF(SUM(O10*($C$14/100))=0,"",IF(ROUND(O9-$I$14,1)&lt;1,(($I$14/100)*$C$14)-('Cost of Production'!$C$31+'Cost of Production'!$C$44+O20),((($I$14/100)*$C$14)+O36)-('Cost of Production'!$C$31+'Cost of Production'!$C$44+O20)))</f>
        <v>85.20010000000002</v>
      </c>
      <c r="P49" s="66">
        <f>IF(SUM(P10*($C$14/100))=0,"",IF(ROUND(P9-$I$14,1)&lt;1,(($I$14/100)*$C$14)-('Cost of Production'!$C$31+'Cost of Production'!$C$44+P20),((($I$14/100)*$C$14)+P36)-('Cost of Production'!$C$31+'Cost of Production'!$C$44+P20)))</f>
        <v>68.351200000000063</v>
      </c>
      <c r="Q49" s="66">
        <f>IF(SUM(Q10*($C$14/100))=0,"",IF(ROUND(Q9-$I$14,1)&lt;1,(($I$14/100)*$C$14)-('Cost of Production'!$C$31+'Cost of Production'!$C$44+Q20),((($I$14/100)*$C$14)+Q36)-('Cost of Production'!$C$31+'Cost of Production'!$C$44+Q20)))</f>
        <v>52.899099999999635</v>
      </c>
      <c r="R49" s="66" t="str">
        <f>IF(SUM(R10*($C$14/100))=0,"",IF(ROUND(R9-$I$14,1)&lt;1,(($I$14/100)*$C$14)-('Cost of Production'!$C$31+'Cost of Production'!$C$46+R20),((($I$14/100)*$C$14)+R36)-('Cost of Production'!$C$31+'Cost of Production'!$C$46+R20)))</f>
        <v/>
      </c>
      <c r="S49" s="66" t="str">
        <f>IF(SUM(S10*($C$14/100))=0,"",IF(ROUND(S9-$I$14,1)&lt;1,(($I$14/100)*$C$14)-('Cost of Production'!$C$31+'Cost of Production'!$C$46+S20),((($I$14/100)*$C$14)+S36)-('Cost of Production'!$C$31+'Cost of Production'!$C$46+S20)))</f>
        <v/>
      </c>
      <c r="T49" s="66" t="str">
        <f>IF(SUM(T10*($C$14/100))=0,"",IF(ROUND(T9-$I$14,1)&lt;1,(($I$14/100)*$C$14)-('Cost of Production'!$C$31+'Cost of Production'!$C$46+T20),((($I$14/100)*$C$14)+T36)-('Cost of Production'!$C$31+'Cost of Production'!$C$46+T20)))</f>
        <v/>
      </c>
      <c r="U49" s="66" t="str">
        <f>IF(SUM(U10*($C$14/100))=0,"",IF(ROUND(U9-$I$14,1)&lt;1,(($I$14/100)*$C$14)-('Cost of Production'!$C$31+'Cost of Production'!$C$46+U20),((($I$14/100)*$C$14)+U36)-('Cost of Production'!$C$31+'Cost of Production'!$C$46+U20)))</f>
        <v/>
      </c>
      <c r="V49" s="66" t="str">
        <f>IF(SUM(V10*($C$14/100))=0,"",IF(ROUND(V9-$I$14,1)&lt;1,(($I$14/100)*$C$14)-('Cost of Production'!$C$31+'Cost of Production'!$C$46+V20),((($I$14/100)*$C$14)+V36)-('Cost of Production'!$C$31+'Cost of Production'!$C$46+V20)))</f>
        <v/>
      </c>
    </row>
    <row r="50" spans="1:27" x14ac:dyDescent="0.3">
      <c r="A50" s="4"/>
      <c r="B50" s="5" t="s">
        <v>2</v>
      </c>
      <c r="C50" s="66">
        <f>IF(SUM(C10*($C$14/100))=0,"",IF(ROUND(C9-$I$14,1)&lt;1,(($I$14/100)*$C$14)-('Cost of Production'!$C$31+'Cost of Production'!$C$41+C20),((($I$14/100)*$C$14)+C36)-('Cost of Production'!$C$31+'Cost of Production'!$C$41+C20)))</f>
        <v>261.3127999999997</v>
      </c>
      <c r="D50" s="66">
        <f>IF(SUM(D10*($C$14/100))=0,"",IF(ROUND(D9-$I$14,1)&lt;1,(($I$14/100)*$C$14)-('Cost of Production'!$C$31+'Cost of Production'!$C$41+D20),((($I$14/100)*$C$14)+D36)-('Cost of Production'!$C$31+'Cost of Production'!$C$41+D20)))</f>
        <v>246.4717999999998</v>
      </c>
      <c r="E50" s="66">
        <f>IF(SUM(E10*($C$14/100))=0,"",IF(ROUND(E9-$I$14,1)&lt;1,(($I$14/100)*$C$14)-('Cost of Production'!$C$31+'Cost of Production'!$C$41+E20),((($I$14/100)*$C$14)+E36)-('Cost of Production'!$C$31+'Cost of Production'!$C$41+E20)))</f>
        <v>230.84509999999955</v>
      </c>
      <c r="F50" s="66">
        <f>IF(SUM(F10*($C$14/100))=0,"",IF(ROUND(F9-$I$14,1)&lt;1,(($I$14/100)*$C$14)-('Cost of Production'!$C$31+'Cost of Production'!$C$41+F20),((($I$14/100)*$C$14)+F36)-('Cost of Production'!$C$31+'Cost of Production'!$C$41+F20)))</f>
        <v>216.61519999999973</v>
      </c>
      <c r="G50" s="66">
        <f>IF(SUM(G10*($C$14/100))=0,"",IF(ROUND(G9-$I$14,1)&lt;1,(($I$14/100)*$C$14)-('Cost of Production'!$C$31+'Cost of Production'!$C$41+G20),((($I$14/100)*$C$14)+G36)-('Cost of Production'!$C$31+'Cost of Production'!$C$41+G20)))</f>
        <v>201.42499999999973</v>
      </c>
      <c r="H50" s="66">
        <f>IF(SUM(H10*($C$14/100))=0,"",IF(ROUND(H9-$I$14,1)&lt;1,(($I$14/100)*$C$14)-('Cost of Production'!$C$31+'Cost of Production'!$C$41+H20),((($I$14/100)*$C$14)+H36)-('Cost of Production'!$C$31+'Cost of Production'!$C$41+H20)))</f>
        <v>185.79829999999947</v>
      </c>
      <c r="I50" s="66">
        <f>IF(SUM(I10*($C$14/100))=0,"",IF(ROUND(I9-$I$14,1)&lt;1,(($I$14/100)*$C$14)-('Cost of Production'!$C$31+'Cost of Production'!$C$41+I20),((($I$14/100)*$C$14)+I36)-('Cost of Production'!$C$31+'Cost of Production'!$C$41+I20)))</f>
        <v>170.60809999999947</v>
      </c>
      <c r="J50" s="66">
        <f>IF(SUM(J10*($C$14/100))=0,"",IF(ROUND(J9-$I$14,1)&lt;1,(($I$14/100)*$C$14)-('Cost of Production'!$C$31+'Cost of Production'!$C$41+J20),((($I$14/100)*$C$14)+J36)-('Cost of Production'!$C$31+'Cost of Production'!$C$41+J20)))</f>
        <v>154.98139999999967</v>
      </c>
      <c r="K50" s="66">
        <f>IF(SUM(K10*($C$14/100))=0,"",IF(ROUND(K9-$I$14,1)&lt;1,(($I$14/100)*$C$14)-('Cost of Production'!$C$31+'Cost of Production'!$C$41+K20),((($I$14/100)*$C$14)+K36)-('Cost of Production'!$C$31+'Cost of Production'!$C$41+K20)))</f>
        <v>139.79119999999966</v>
      </c>
      <c r="L50" s="66">
        <f>IF(SUM(L10*($C$14/100))=0,"",IF(ROUND(L9-$I$14,1)&lt;1,(($I$14/100)*$C$14)-('Cost of Production'!$C$31+'Cost of Production'!$C$41+L20),((($I$14/100)*$C$14)+L36)-('Cost of Production'!$C$31+'Cost of Production'!$C$41+L20)))</f>
        <v>124.42639999999983</v>
      </c>
      <c r="M50" s="66">
        <f>IF(SUM(M10*($C$14/100))=0,"",IF(ROUND(M9-$I$14,1)&lt;1,(($I$14/100)*$C$14)-('Cost of Production'!$C$31+'Cost of Production'!$C$41+M20),((($I$14/100)*$C$14)+M36)-('Cost of Production'!$C$31+'Cost of Production'!$C$41+M20)))</f>
        <v>108.71239999999989</v>
      </c>
      <c r="N50" s="66">
        <f>IF(SUM(N10*($C$14/100))=0,"",IF(ROUND(N9-$I$14,1)&lt;1,(($I$14/100)*$C$14)-('Cost of Production'!$C$31+'Cost of Production'!$C$41+N20),((($I$14/100)*$C$14)+N36)-('Cost of Production'!$C$31+'Cost of Production'!$C$41+N20)))</f>
        <v>93.696799999999712</v>
      </c>
      <c r="O50" s="66">
        <f>IF(SUM(O10*($C$14/100))=0,"",IF(ROUND(O9-$I$14,1)&lt;1,(($I$14/100)*$C$14)-('Cost of Production'!$C$31+'Cost of Production'!$C$41+O20),((($I$14/100)*$C$14)+O36)-('Cost of Production'!$C$31+'Cost of Production'!$C$41+O20)))</f>
        <v>78.070099999999911</v>
      </c>
      <c r="P50" s="66">
        <f>IF(SUM(P10*($C$14/100))=0,"",IF(ROUND(P9-$I$14,1)&lt;1,(($I$14/100)*$C$14)-('Cost of Production'!$C$31+'Cost of Production'!$C$41+P20),((($I$14/100)*$C$14)+P36)-('Cost of Production'!$C$31+'Cost of Production'!$C$41+P20)))</f>
        <v>61.221199999999953</v>
      </c>
      <c r="Q50" s="66">
        <f>IF(SUM(Q10*($C$14/100))=0,"",IF(ROUND(Q9-$I$14,1)&lt;1,(($I$14/100)*$C$14)-('Cost of Production'!$C$31+'Cost of Production'!$C$41+Q20),((($I$14/100)*$C$14)+Q36)-('Cost of Production'!$C$31+'Cost of Production'!$C$41+Q20)))</f>
        <v>45.769099999999526</v>
      </c>
      <c r="R50" s="66" t="str">
        <f>IF(SUM(R10*($C$14/100))=0,"",IF(ROUND(R9-$I$14,1)&lt;1,(($I$14/100)*$C$14)-('Cost of Production'!$C$31+'Cost of Production'!$C$41+R20),((($I$14/100)*$C$14)+R36)-('Cost of Production'!$C$31+'Cost of Production'!$C$41+R20)))</f>
        <v/>
      </c>
      <c r="S50" s="66" t="str">
        <f>IF(SUM(S10*($C$14/100))=0,"",IF(ROUND(S9-$I$14,1)&lt;1,(($I$14/100)*$C$14)-('Cost of Production'!$C$31+'Cost of Production'!$C$41+S20),((($I$14/100)*$C$14)+S36)-('Cost of Production'!$C$31+'Cost of Production'!$C$41+S20)))</f>
        <v/>
      </c>
      <c r="T50" s="66" t="str">
        <f>IF(SUM(T10*($C$14/100))=0,"",IF(ROUND(T9-$I$14,1)&lt;1,(($I$14/100)*$C$14)-('Cost of Production'!$C$31+'Cost of Production'!$C$41+T20),((($I$14/100)*$C$14)+T36)-('Cost of Production'!$C$31+'Cost of Production'!$C$41+T20)))</f>
        <v/>
      </c>
      <c r="U50" s="66" t="str">
        <f>IF(SUM(U10*($C$14/100))=0,"",IF(ROUND(U9-$I$14,1)&lt;1,(($I$14/100)*$C$14)-('Cost of Production'!$C$31+'Cost of Production'!$C$41+U20),((($I$14/100)*$C$14)+U36)-('Cost of Production'!$C$31+'Cost of Production'!$C$41+U20)))</f>
        <v/>
      </c>
      <c r="V50" s="66" t="str">
        <f>IF(SUM(V10*($C$14/100))=0,"",IF(ROUND(V9-$I$14,1)&lt;1,(($I$14/100)*$C$14)-('Cost of Production'!$C$31+'Cost of Production'!$C$41+V20),((($I$14/100)*$C$14)+V36)-('Cost of Production'!$C$31+'Cost of Production'!$C$41+V20)))</f>
        <v/>
      </c>
    </row>
    <row r="51" spans="1:27" x14ac:dyDescent="0.3">
      <c r="A51" s="4"/>
      <c r="B51" s="12" t="s">
        <v>3</v>
      </c>
      <c r="C51" s="67">
        <f>IF(SUM(C10*($C$14/100))=0,"",IF(ROUND(C9-$I$14,1)&lt;1,(($I$14/100)*$C$14)-('Cost of Production'!$C$46+C20),((($I$14/100)*$C$14)+C36)-('Cost of Production'!$C$46+C20)))</f>
        <v>234.3127999999997</v>
      </c>
      <c r="D51" s="67">
        <f>IF(SUM(D10*($C$14/100))=0,"",IF(ROUND(D9-$I$14,1)&lt;1,(($I$14/100)*$C$14)-('Cost of Production'!$C$46+D20),((($I$14/100)*$C$14)+D36)-('Cost of Production'!$C$46+D20)))</f>
        <v>219.4717999999998</v>
      </c>
      <c r="E51" s="67">
        <f>IF(SUM(E10*($C$14/100))=0,"",IF(ROUND(E9-$I$14,1)&lt;1,(($I$14/100)*$C$14)-('Cost of Production'!$C$46+E20),((($I$14/100)*$C$14)+E36)-('Cost of Production'!$C$46+E20)))</f>
        <v>203.84509999999955</v>
      </c>
      <c r="F51" s="67">
        <f>IF(SUM(F10*($C$14/100))=0,"",IF(ROUND(F9-$I$14,1)&lt;1,(($I$14/100)*$C$14)-('Cost of Production'!$C$46+F20),((($I$14/100)*$C$14)+F36)-('Cost of Production'!$C$46+F20)))</f>
        <v>189.61519999999973</v>
      </c>
      <c r="G51" s="67">
        <f>IF(SUM(G10*($C$14/100))=0,"",IF(ROUND(G9-$I$14,1)&lt;1,(($I$14/100)*$C$14)-('Cost of Production'!$C$46+G20),((($I$14/100)*$C$14)+G36)-('Cost of Production'!$C$46+G20)))</f>
        <v>174.42499999999973</v>
      </c>
      <c r="H51" s="67">
        <f>IF(SUM(H10*($C$14/100))=0,"",IF(ROUND(H9-$I$14,1)&lt;1,(($I$14/100)*$C$14)-('Cost of Production'!$C$46+H20),((($I$14/100)*$C$14)+H36)-('Cost of Production'!$C$46+H20)))</f>
        <v>158.79829999999947</v>
      </c>
      <c r="I51" s="67">
        <f>IF(SUM(I10*($C$14/100))=0,"",IF(ROUND(I9-$I$14,1)&lt;1,(($I$14/100)*$C$14)-('Cost of Production'!$C$46+I20),((($I$14/100)*$C$14)+I36)-('Cost of Production'!$C$46+I20)))</f>
        <v>143.60809999999947</v>
      </c>
      <c r="J51" s="67">
        <f>IF(SUM(J10*($C$14/100))=0,"",IF(ROUND(J9-$I$14,1)&lt;1,(($I$14/100)*$C$14)-('Cost of Production'!$C$46+J20),((($I$14/100)*$C$14)+J36)-('Cost of Production'!$C$46+J20)))</f>
        <v>127.98139999999967</v>
      </c>
      <c r="K51" s="67">
        <f>IF(SUM(K10*($C$14/100))=0,"",IF(ROUND(K9-$I$14,1)&lt;1,(($I$14/100)*$C$14)-('Cost of Production'!$C$46+K20),((($I$14/100)*$C$14)+K36)-('Cost of Production'!$C$46+K20)))</f>
        <v>112.79119999999966</v>
      </c>
      <c r="L51" s="67">
        <f>IF(SUM(L10*($C$14/100))=0,"",IF(ROUND(L9-$I$14,1)&lt;1,(($I$14/100)*$C$14)-('Cost of Production'!$C$46+L20),((($I$14/100)*$C$14)+L36)-('Cost of Production'!$C$46+L20)))</f>
        <v>97.42639999999983</v>
      </c>
      <c r="M51" s="67">
        <f>IF(SUM(M10*($C$14/100))=0,"",IF(ROUND(M9-$I$14,1)&lt;1,(($I$14/100)*$C$14)-('Cost of Production'!$C$46+M20),((($I$14/100)*$C$14)+M36)-('Cost of Production'!$C$46+M20)))</f>
        <v>81.712399999999889</v>
      </c>
      <c r="N51" s="67">
        <f>IF(SUM(N10*($C$14/100))=0,"",IF(ROUND(N9-$I$14,1)&lt;1,(($I$14/100)*$C$14)-('Cost of Production'!$C$46+N20),((($I$14/100)*$C$14)+N36)-('Cost of Production'!$C$46+N20)))</f>
        <v>66.696799999999712</v>
      </c>
      <c r="O51" s="67">
        <f>IF(SUM(O10*($C$14/100))=0,"",IF(ROUND(O9-$I$14,1)&lt;1,(($I$14/100)*$C$14)-('Cost of Production'!$C$46+O20),((($I$14/100)*$C$14)+O36)-('Cost of Production'!$C$46+O20)))</f>
        <v>51.070099999999911</v>
      </c>
      <c r="P51" s="67">
        <f>IF(SUM(P10*($C$14/100))=0,"",IF(ROUND(P9-$I$14,1)&lt;1,(($I$14/100)*$C$14)-('Cost of Production'!$C$46+P20),((($I$14/100)*$C$14)+P36)-('Cost of Production'!$C$46+P20)))</f>
        <v>34.221199999999953</v>
      </c>
      <c r="Q51" s="67">
        <f>IF(SUM(Q10*($C$14/100))=0,"",IF(ROUND(Q9-$I$14,1)&lt;1,(($I$14/100)*$C$14)-('Cost of Production'!$C$46+Q20),((($I$14/100)*$C$14)+Q36)-('Cost of Production'!$C$46+Q20)))</f>
        <v>18.769099999999526</v>
      </c>
      <c r="R51" s="67" t="str">
        <f>IF(SUM(R10*($C$14/100))=0,"",IF(ROUND(R9-$I$14,1)&lt;1,(($I$14/100)*$C$14)-('Cost of Production'!$C$48+R20),((($I$14/100)*$C$14)+R36)-('Cost of Production'!$C$48+R20)))</f>
        <v/>
      </c>
      <c r="S51" s="67" t="str">
        <f>IF(SUM(S10*($C$14/100))=0,"",IF(ROUND(S9-$I$14,1)&lt;1,(($I$14/100)*$C$14)-('Cost of Production'!$C$48+S20),((($I$14/100)*$C$14)+S36)-('Cost of Production'!$C$48+S20)))</f>
        <v/>
      </c>
      <c r="T51" s="67" t="str">
        <f>IF(SUM(T10*($C$14/100))=0,"",IF(ROUND(T9-$I$14,1)&lt;1,(($I$14/100)*$C$14)-('Cost of Production'!$C$48+T20),((($I$14/100)*$C$14)+T36)-('Cost of Production'!$C$48+T20)))</f>
        <v/>
      </c>
      <c r="U51" s="67" t="str">
        <f>IF(SUM(U10*($C$14/100))=0,"",IF(ROUND(U9-$I$14,1)&lt;1,(($I$14/100)*$C$14)-('Cost of Production'!$C$48+U20),((($I$14/100)*$C$14)+U36)-('Cost of Production'!$C$48+U20)))</f>
        <v/>
      </c>
      <c r="V51" s="67" t="str">
        <f>IF(SUM(V10*($C$14/100))=0,"",IF(ROUND(V9-$I$14,1)&lt;1,(($I$14/100)*$C$14)-('Cost of Production'!$C$48+V20),((($I$14/100)*$C$14)+V36)-('Cost of Production'!$C$48+V20)))</f>
        <v/>
      </c>
    </row>
    <row r="52" spans="1:27" ht="7.5" customHeight="1" x14ac:dyDescent="0.3">
      <c r="B52" s="8"/>
    </row>
    <row r="53" spans="1:27" x14ac:dyDescent="0.3">
      <c r="A53" s="141" t="s">
        <v>105</v>
      </c>
      <c r="B53" s="141"/>
      <c r="C53" s="141"/>
      <c r="D53" s="141"/>
      <c r="E53" s="141"/>
      <c r="F53" s="141"/>
      <c r="G53" s="141"/>
      <c r="H53" s="141"/>
      <c r="I53" s="141"/>
      <c r="J53" s="141"/>
      <c r="K53" s="141"/>
      <c r="L53" s="141"/>
      <c r="M53" s="141"/>
      <c r="N53" s="141"/>
      <c r="O53" s="141"/>
      <c r="P53" s="141"/>
      <c r="Q53" s="141"/>
      <c r="R53" s="141"/>
      <c r="S53" s="141"/>
      <c r="T53" s="141"/>
      <c r="U53" s="141"/>
      <c r="V53" s="141"/>
      <c r="W53" s="1"/>
      <c r="X53" s="1"/>
      <c r="Y53" s="1"/>
      <c r="Z53" s="1"/>
      <c r="AA53" s="1"/>
    </row>
    <row r="54" spans="1:27" ht="7.5" customHeight="1" x14ac:dyDescent="0.3">
      <c r="A54" s="45"/>
      <c r="B54" s="45"/>
      <c r="C54" s="45"/>
      <c r="D54" s="45"/>
      <c r="E54" s="45"/>
      <c r="F54" s="45"/>
      <c r="G54" s="45"/>
      <c r="H54" s="45"/>
      <c r="I54" s="45"/>
      <c r="J54" s="45"/>
      <c r="K54" s="45"/>
      <c r="L54" s="45"/>
      <c r="M54" s="45"/>
      <c r="N54" s="45"/>
      <c r="O54" s="45"/>
      <c r="P54" s="45"/>
      <c r="Q54" s="45"/>
      <c r="R54" s="45"/>
      <c r="S54" s="45"/>
      <c r="T54" s="45"/>
      <c r="U54" s="45"/>
      <c r="V54" s="45"/>
      <c r="W54" s="1"/>
      <c r="X54" s="1"/>
      <c r="Y54" s="1"/>
      <c r="Z54" s="1"/>
      <c r="AA54" s="1"/>
    </row>
    <row r="55" spans="1:27" ht="15.75" customHeight="1" x14ac:dyDescent="0.3">
      <c r="A55" s="71" t="str">
        <f>"Premium Cost ($/head) = Insured Weight (cwt) x Premium ($/cwt)   (eg. ("&amp;C14&amp;"lbs /100) x $"&amp;J10&amp;" = $"&amp;TEXT(J20,"0.00")&amp;")"</f>
        <v>Premium Cost ($/head) = Insured Weight (cwt) x Premium ($/cwt)   (eg. (873lbs /100) x $6.82 = $59.54)</v>
      </c>
      <c r="B55" s="8"/>
      <c r="P55" s="2"/>
      <c r="R55" s="110" t="s">
        <v>93</v>
      </c>
      <c r="S55" s="63">
        <v>320</v>
      </c>
      <c r="T55" s="5" t="s">
        <v>59</v>
      </c>
      <c r="U55" s="2"/>
    </row>
    <row r="56" spans="1:27" ht="15.75" customHeight="1" x14ac:dyDescent="0.3">
      <c r="A56" s="71" t="str">
        <f>"Insured Value ($/head) = Insured Index ($/cwt) x Insured Weight (cwt)   (eg. $"&amp;J9&amp;" x ("&amp;C14&amp;"lbs/100) = $"&amp;J21&amp;")"</f>
        <v>Insured Value ($/head) = Insured Index ($/cwt) x Insured Weight (cwt)   (eg. $318 x (873lbs/100) = $2776.14)</v>
      </c>
      <c r="B56" s="8"/>
      <c r="Q56" s="73" t="s">
        <v>94</v>
      </c>
    </row>
    <row r="57" spans="1:27" ht="15.75" customHeight="1" x14ac:dyDescent="0.3">
      <c r="A57" s="71" t="str">
        <f>"Premium Cost (% of Insured Value) = Premium Cost ($/head) / Insured Value ($/head)   (eg. $"&amp;TEXT(J20,"0.00")&amp;" / $"&amp;J21&amp;" = "&amp;ROUND(J23*100,2)&amp;"%)"</f>
        <v>Premium Cost (% of Insured Value) = Premium Cost ($/head) / Insured Value ($/head)   (eg. $59.54 / $2776.14 = 2.14%)</v>
      </c>
      <c r="B57" s="8"/>
    </row>
    <row r="58" spans="1:27" ht="15.75" customHeight="1" x14ac:dyDescent="0.3">
      <c r="A58" s="71" t="str">
        <f>"Incremental Coverage Cost (per $1 of Inc. Coverage) = (Premium Cost  - Premium Cost (lower level) / (Insured Value - Insured Value (lower level))   (eg. ($"&amp;TEXT(J20,"0.00")&amp;" - $"&amp;TEXT(K20,"0.00")&amp;") / ($"&amp;J21&amp;" - $"&amp;K21&amp;") = $"&amp;TEXT(J31,"#.##")&amp;")"</f>
        <v>Incremental Coverage Cost (per $1 of Inc. Coverage) = (Premium Cost  - Premium Cost (lower level) / (Insured Value - Insured Value (lower level))   (eg. ($59.54 - $57.27) / ($2776.14 - $2758.68) = $.13)</v>
      </c>
      <c r="B58" s="8"/>
    </row>
    <row r="59" spans="1:27" ht="15.75" customHeight="1" x14ac:dyDescent="0.3">
      <c r="A59" s="71" t="str">
        <f>"LPIP Payment ($/head) = (Insured Index ($/cwt) - Estimated Settlement Price ($/cwt))) x (Insured  Weight (lbs)/100)     (eg. ($"&amp;J9&amp;" - $"&amp;$I$14&amp;") x ("&amp;$C$14&amp;" lbs/100) = $"&amp;J36&amp;")"</f>
        <v>LPIP Payment ($/head) = (Insured Index ($/cwt) - Estimated Settlement Price ($/cwt))) x (Insured  Weight (lbs)/100)     (eg. ($318 - $280) x (873 lbs/100) = $331.74)</v>
      </c>
      <c r="B59" s="8"/>
    </row>
    <row r="60" spans="1:27" ht="15.75" customHeight="1" x14ac:dyDescent="0.3">
      <c r="A60" s="71" t="str">
        <f>"Cost Not Covered by LPIP Insured Value ($/head) =  Cost of Production ($/head) + LPIP Premium ($/head) - LPIP Insured Value ($/head)   (eg. $"&amp;ROUND('Cost of Production'!$C$46,0)&amp;" + $"&amp;TEXT(J20,"0.00")&amp;" - $"&amp;J21&amp;" = $"&amp;ROUND(IF(J20+'Cost of Production'!$C$48-' LPI Calculator'!J21&lt;0,0,SUM(J20+'Cost of Production'!$C$48-' LPI Calculator'!J21)),2)&amp;")"</f>
        <v>Cost Not Covered by LPIP Insured Value ($/head) =  Cost of Production ($/head) + LPIP Premium ($/head) - LPIP Insured Value ($/head)   (eg. $2589 + $59.54 - $2776.14 = $0)</v>
      </c>
      <c r="B60" s="8"/>
    </row>
    <row r="61" spans="1:27" ht="15.6" customHeight="1" x14ac:dyDescent="0.3">
      <c r="A61" s="71" t="str">
        <f>"Marginal Return ($/head) = ((Est. Settlement Price ($/cwt) x (Insured Weight (lbs) / 100)) + LPIP Payment ($/head) - (Costs ($/head) + LPIP Premium($/head)))   (eg. (($"&amp;$I$14&amp;" x ("&amp;$C$14&amp;" lbs/100)) + $"&amp;ROUND(C36,0)&amp;" - ($"&amp;ROUND('Cost of Production'!$C$48,0)&amp;" + $"&amp;TEXT(C20,"0.00")&amp;") = $"&amp;TEXT(C51,"0.00")&amp;")"</f>
        <v>Marginal Return ($/head) = ((Est. Settlement Price ($/cwt) x (Insured Weight (lbs) / 100)) + LPIP Payment ($/head) - (Costs ($/head) + LPIP Premium($/head)))   (eg. (($280 x (873 lbs/100)) + $454 - ($0 + $75.43) = $234.31)</v>
      </c>
      <c r="B61" s="8"/>
    </row>
    <row r="62" spans="1:27" ht="7.5" customHeight="1" x14ac:dyDescent="0.3">
      <c r="A62" s="68"/>
    </row>
    <row r="63" spans="1:27" x14ac:dyDescent="0.3">
      <c r="A63" s="140"/>
      <c r="B63" s="140"/>
      <c r="C63" s="140"/>
      <c r="D63" s="140"/>
      <c r="E63" s="140"/>
      <c r="F63" s="140"/>
      <c r="G63" s="140"/>
      <c r="H63" s="140"/>
      <c r="I63" s="140"/>
      <c r="J63" s="140"/>
      <c r="K63" s="140"/>
      <c r="L63" s="140"/>
      <c r="M63" s="140"/>
      <c r="N63" s="140"/>
      <c r="O63" s="140"/>
      <c r="P63" s="140"/>
      <c r="Q63" s="140"/>
      <c r="R63" s="140"/>
      <c r="S63" s="140"/>
      <c r="T63" s="140"/>
      <c r="U63" s="140"/>
      <c r="V63" s="140"/>
      <c r="W63" s="1"/>
      <c r="X63" s="1"/>
      <c r="Y63" s="1"/>
      <c r="Z63" s="1"/>
      <c r="AA63" s="1"/>
    </row>
    <row r="64" spans="1:27" ht="7.5" customHeight="1" x14ac:dyDescent="0.3"/>
    <row r="109" spans="1:22" s="15" customFormat="1" ht="12.75" customHeight="1" x14ac:dyDescent="0.25">
      <c r="A109" s="46" t="s">
        <v>13</v>
      </c>
      <c r="B109" s="46"/>
      <c r="C109" s="46"/>
      <c r="D109" s="46"/>
      <c r="E109" s="46"/>
      <c r="F109" s="46"/>
      <c r="G109" s="46"/>
      <c r="H109" s="46"/>
      <c r="I109" s="46"/>
      <c r="J109" s="46"/>
      <c r="K109" s="46"/>
    </row>
    <row r="110" spans="1:22" s="15" customFormat="1" ht="18" customHeight="1" x14ac:dyDescent="0.25">
      <c r="A110" s="54"/>
      <c r="B110" s="54"/>
      <c r="C110" s="54"/>
      <c r="D110" s="54"/>
      <c r="E110" s="54"/>
      <c r="F110" s="54"/>
      <c r="G110" s="54"/>
      <c r="H110" s="54"/>
      <c r="I110" s="54"/>
      <c r="J110" s="54"/>
      <c r="K110" s="54"/>
      <c r="L110" s="54"/>
      <c r="M110" s="54"/>
      <c r="N110" s="54"/>
      <c r="O110" s="54"/>
      <c r="P110" s="54"/>
      <c r="Q110" s="54"/>
      <c r="R110" s="54"/>
      <c r="S110" s="22"/>
      <c r="T110" s="22"/>
      <c r="U110" s="22"/>
      <c r="V110" s="22"/>
    </row>
    <row r="111" spans="1:22" s="15" customFormat="1" ht="18" customHeight="1" x14ac:dyDescent="0.3">
      <c r="A111" s="137"/>
      <c r="B111" s="138"/>
      <c r="C111" s="138"/>
      <c r="D111" s="138"/>
      <c r="E111" s="138"/>
      <c r="F111" s="138"/>
      <c r="V111" s="139" t="s">
        <v>177</v>
      </c>
    </row>
  </sheetData>
  <sheetProtection algorithmName="SHA-512" hashValue="NbBVe6g/nZXUf/lZ43UAqmzUjTMBt9zKxTH1n3IrtXBkARE2zS9dL4otJoZOp8YP9nAWZulO25uNnjyUZGuXig==" saltValue="z8073gla/IV+RQTwCvMilg==" spinCount="100000" sheet="1" objects="1" scenarios="1"/>
  <mergeCells count="8">
    <mergeCell ref="A63:V63"/>
    <mergeCell ref="A18:V18"/>
    <mergeCell ref="C8:V8"/>
    <mergeCell ref="A5:V5"/>
    <mergeCell ref="A45:V45"/>
    <mergeCell ref="A53:V53"/>
    <mergeCell ref="A12:V12"/>
    <mergeCell ref="A33:V33"/>
  </mergeCells>
  <dataValidations count="2">
    <dataValidation type="list" allowBlank="1" showInputMessage="1" showErrorMessage="1" sqref="G7" xr:uid="{00000000-0002-0000-0000-000000000000}">
      <formula1>$BB$4:$BM$4</formula1>
    </dataValidation>
    <dataValidation type="list" allowBlank="1" showInputMessage="1" showErrorMessage="1" sqref="H7" xr:uid="{00000000-0002-0000-0000-000001000000}">
      <formula1>$BB$5:$CF$5</formula1>
    </dataValidation>
  </dataValidations>
  <printOptions horizontalCentered="1"/>
  <pageMargins left="0.35433070866141736" right="0.35433070866141736" top="0.39370078740157483" bottom="0.39370078740157483" header="0.51181102362204722" footer="0.51181102362204722"/>
  <pageSetup paperSize="5" scale="61" firstPageNumber="3" fitToHeight="2" pageOrder="overThenDown" orientation="landscape" useFirstPageNumber="1" r:id="rId1"/>
  <headerFooter scaleWithDoc="0" alignWithMargins="0"/>
  <rowBreaks count="1" manualBreakCount="1">
    <brk id="62"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2:O101"/>
  <sheetViews>
    <sheetView zoomScaleNormal="100" workbookViewId="0">
      <selection activeCell="D1" sqref="D1"/>
    </sheetView>
  </sheetViews>
  <sheetFormatPr defaultColWidth="8.7265625" defaultRowHeight="13.2" x14ac:dyDescent="0.25"/>
  <cols>
    <col min="1" max="2" width="2.7265625" style="108" customWidth="1"/>
    <col min="3" max="5" width="10.6328125" style="108" customWidth="1"/>
    <col min="6" max="6" width="11.08984375" style="108" customWidth="1"/>
    <col min="7" max="10" width="10.6328125" style="108" customWidth="1"/>
    <col min="11" max="11" width="8.7265625" style="108"/>
    <col min="12" max="16384" width="8.7265625" style="8"/>
  </cols>
  <sheetData>
    <row r="2" spans="1:11" ht="19.5" customHeight="1" x14ac:dyDescent="0.25"/>
    <row r="3" spans="1:11" s="102" customFormat="1" ht="20.25" customHeight="1" x14ac:dyDescent="0.25">
      <c r="A3" s="143" t="s">
        <v>155</v>
      </c>
      <c r="B3" s="143"/>
      <c r="C3" s="143"/>
      <c r="D3" s="143"/>
      <c r="E3" s="143"/>
      <c r="F3" s="143"/>
      <c r="G3" s="143"/>
      <c r="H3" s="143"/>
      <c r="I3" s="143"/>
      <c r="J3" s="143"/>
      <c r="K3" s="101"/>
    </row>
    <row r="4" spans="1:11" s="102" customFormat="1" ht="15.75" customHeight="1" x14ac:dyDescent="0.25">
      <c r="A4" s="144" t="s">
        <v>156</v>
      </c>
      <c r="B4" s="144"/>
      <c r="C4" s="144"/>
      <c r="D4" s="144"/>
      <c r="E4" s="144"/>
      <c r="F4" s="144"/>
      <c r="G4" s="144"/>
      <c r="H4" s="144"/>
      <c r="I4" s="144"/>
      <c r="J4" s="144"/>
      <c r="K4" s="101"/>
    </row>
    <row r="5" spans="1:11" s="102" customFormat="1" ht="15.75" customHeight="1" x14ac:dyDescent="0.25">
      <c r="A5" s="144"/>
      <c r="B5" s="144"/>
      <c r="C5" s="144"/>
      <c r="D5" s="144"/>
      <c r="E5" s="144"/>
      <c r="F5" s="144"/>
      <c r="G5" s="144"/>
      <c r="H5" s="144"/>
      <c r="I5" s="144"/>
      <c r="J5" s="144"/>
      <c r="K5" s="101"/>
    </row>
    <row r="6" spans="1:11" s="102" customFormat="1" ht="15.75" customHeight="1" x14ac:dyDescent="0.25">
      <c r="A6" s="144"/>
      <c r="B6" s="144"/>
      <c r="C6" s="144"/>
      <c r="D6" s="144"/>
      <c r="E6" s="144"/>
      <c r="F6" s="144"/>
      <c r="G6" s="144"/>
      <c r="H6" s="144"/>
      <c r="I6" s="144"/>
      <c r="J6" s="144"/>
      <c r="K6" s="101"/>
    </row>
    <row r="7" spans="1:11" s="102" customFormat="1" ht="7.5" customHeight="1" x14ac:dyDescent="0.25">
      <c r="A7" s="103"/>
      <c r="B7" s="103"/>
      <c r="C7" s="103"/>
      <c r="D7" s="103"/>
      <c r="E7" s="103"/>
      <c r="F7" s="103"/>
      <c r="G7" s="103"/>
      <c r="H7" s="103"/>
      <c r="I7" s="103"/>
      <c r="J7" s="103"/>
      <c r="K7" s="101"/>
    </row>
    <row r="8" spans="1:11" s="105" customFormat="1" ht="15.75" customHeight="1" x14ac:dyDescent="0.25">
      <c r="A8" s="76" t="s">
        <v>157</v>
      </c>
      <c r="B8" s="76"/>
      <c r="C8" s="76"/>
      <c r="D8" s="76"/>
      <c r="E8" s="76"/>
      <c r="F8" s="104"/>
      <c r="G8" s="104"/>
      <c r="H8" s="104"/>
      <c r="I8" s="104"/>
      <c r="J8" s="104"/>
      <c r="K8" s="104"/>
    </row>
    <row r="9" spans="1:11" s="105" customFormat="1" ht="15.75" customHeight="1" x14ac:dyDescent="0.25">
      <c r="A9" s="111"/>
      <c r="B9" s="145" t="s">
        <v>173</v>
      </c>
      <c r="C9" s="145"/>
      <c r="D9" s="145"/>
      <c r="E9" s="133"/>
      <c r="F9" s="104"/>
      <c r="G9" s="104"/>
      <c r="H9" s="104"/>
      <c r="I9" s="104"/>
      <c r="J9" s="104"/>
      <c r="K9" s="104"/>
    </row>
    <row r="10" spans="1:11" s="105" customFormat="1" ht="16.2" customHeight="1" x14ac:dyDescent="0.25">
      <c r="A10" s="106"/>
      <c r="B10" s="146" t="s">
        <v>95</v>
      </c>
      <c r="C10" s="146"/>
      <c r="D10" s="146"/>
      <c r="E10" s="146"/>
      <c r="F10" s="104"/>
      <c r="G10" s="104"/>
      <c r="H10" s="104"/>
      <c r="I10" s="104"/>
      <c r="J10" s="104"/>
      <c r="K10" s="104"/>
    </row>
    <row r="11" spans="1:11" s="102" customFormat="1" ht="24" customHeight="1" x14ac:dyDescent="0.25">
      <c r="A11" s="101"/>
      <c r="B11" s="101"/>
      <c r="C11" s="144" t="s">
        <v>140</v>
      </c>
      <c r="D11" s="144"/>
      <c r="E11" s="144"/>
      <c r="F11" s="144"/>
      <c r="G11" s="144"/>
      <c r="H11" s="144"/>
      <c r="I11" s="144"/>
      <c r="J11" s="144"/>
      <c r="K11" s="101"/>
    </row>
    <row r="12" spans="1:11" s="102" customFormat="1" ht="15.75" customHeight="1" x14ac:dyDescent="0.25">
      <c r="A12" s="101"/>
      <c r="B12" s="101"/>
      <c r="C12" s="144"/>
      <c r="D12" s="144"/>
      <c r="E12" s="144"/>
      <c r="F12" s="144"/>
      <c r="G12" s="144"/>
      <c r="H12" s="144"/>
      <c r="I12" s="144"/>
      <c r="J12" s="144"/>
      <c r="K12" s="101"/>
    </row>
    <row r="13" spans="1:11" s="102" customFormat="1" ht="15.75" customHeight="1" x14ac:dyDescent="0.25">
      <c r="A13" s="101"/>
      <c r="B13" s="101"/>
      <c r="C13" s="107"/>
      <c r="D13" s="107"/>
      <c r="E13" s="107"/>
      <c r="F13" s="107"/>
      <c r="G13" s="107"/>
      <c r="H13" s="107"/>
      <c r="I13" s="107"/>
      <c r="J13" s="107"/>
      <c r="K13" s="101"/>
    </row>
    <row r="14" spans="1:11" s="102" customFormat="1" ht="15.75" customHeight="1" x14ac:dyDescent="0.25">
      <c r="A14" s="101"/>
      <c r="B14" s="101"/>
      <c r="C14" s="107"/>
      <c r="D14" s="107"/>
      <c r="E14" s="107"/>
      <c r="F14" s="107"/>
      <c r="G14" s="107"/>
      <c r="H14" s="107"/>
      <c r="I14" s="107"/>
      <c r="J14" s="107"/>
      <c r="K14" s="101"/>
    </row>
    <row r="15" spans="1:11" s="102" customFormat="1" ht="15.75" customHeight="1" x14ac:dyDescent="0.25">
      <c r="A15" s="101"/>
      <c r="B15" s="101"/>
      <c r="C15" s="107"/>
      <c r="D15" s="107"/>
      <c r="E15" s="107"/>
      <c r="F15" s="107"/>
      <c r="G15" s="107"/>
      <c r="H15" s="107"/>
      <c r="I15" s="107"/>
      <c r="J15" s="107"/>
      <c r="K15" s="101"/>
    </row>
    <row r="16" spans="1:11" s="102" customFormat="1" ht="15.75" customHeight="1" x14ac:dyDescent="0.25">
      <c r="A16" s="101"/>
      <c r="B16" s="101"/>
      <c r="C16" s="107"/>
      <c r="D16" s="107"/>
      <c r="E16" s="107"/>
      <c r="F16" s="107"/>
      <c r="G16" s="107"/>
      <c r="H16" s="107"/>
      <c r="I16" s="107"/>
      <c r="J16" s="107"/>
      <c r="K16" s="101"/>
    </row>
    <row r="17" spans="1:11" s="102" customFormat="1" ht="15.75" customHeight="1" x14ac:dyDescent="0.25">
      <c r="A17" s="101"/>
      <c r="B17" s="101"/>
      <c r="C17" s="107"/>
      <c r="D17" s="107"/>
      <c r="E17" s="107"/>
      <c r="F17" s="107"/>
      <c r="G17" s="107"/>
      <c r="H17" s="107"/>
      <c r="I17" s="107"/>
      <c r="J17" s="107"/>
      <c r="K17" s="101"/>
    </row>
    <row r="18" spans="1:11" s="102" customFormat="1" ht="15.75" customHeight="1" x14ac:dyDescent="0.25">
      <c r="A18" s="101"/>
      <c r="B18" s="101"/>
      <c r="C18" s="107"/>
      <c r="D18" s="107"/>
      <c r="E18" s="107"/>
      <c r="F18" s="107"/>
      <c r="G18" s="107"/>
      <c r="H18" s="107"/>
      <c r="I18" s="107"/>
      <c r="J18" s="107"/>
      <c r="K18" s="101"/>
    </row>
    <row r="19" spans="1:11" s="102" customFormat="1" ht="15.75" customHeight="1" x14ac:dyDescent="0.25">
      <c r="A19" s="101"/>
      <c r="B19" s="101"/>
      <c r="C19" s="107"/>
      <c r="D19" s="107"/>
      <c r="E19" s="107"/>
      <c r="F19" s="107"/>
      <c r="G19" s="107"/>
      <c r="H19" s="107"/>
      <c r="I19" s="107"/>
      <c r="J19" s="107"/>
      <c r="K19" s="101"/>
    </row>
    <row r="20" spans="1:11" s="102" customFormat="1" ht="15.75" customHeight="1" x14ac:dyDescent="0.25">
      <c r="A20" s="101"/>
      <c r="B20" s="101"/>
      <c r="C20" s="107"/>
      <c r="D20" s="107"/>
      <c r="E20" s="107"/>
      <c r="F20" s="107"/>
      <c r="G20" s="107"/>
      <c r="H20" s="107"/>
      <c r="I20" s="107"/>
      <c r="J20" s="107"/>
      <c r="K20" s="101"/>
    </row>
    <row r="21" spans="1:11" s="102" customFormat="1" ht="15.75" customHeight="1" x14ac:dyDescent="0.25">
      <c r="A21" s="101"/>
      <c r="B21" s="101"/>
      <c r="C21" s="107"/>
      <c r="D21" s="107"/>
      <c r="E21" s="107"/>
      <c r="F21" s="107"/>
      <c r="G21" s="107"/>
      <c r="H21" s="107"/>
      <c r="I21" s="107"/>
      <c r="J21" s="107"/>
      <c r="K21" s="101"/>
    </row>
    <row r="22" spans="1:11" s="102" customFormat="1" ht="15.75" customHeight="1" x14ac:dyDescent="0.25">
      <c r="A22" s="101"/>
      <c r="B22" s="101"/>
      <c r="C22" s="107"/>
      <c r="D22" s="107"/>
      <c r="E22" s="107"/>
      <c r="F22" s="107"/>
      <c r="G22" s="107"/>
      <c r="H22" s="107"/>
      <c r="I22" s="107"/>
      <c r="J22" s="107"/>
      <c r="K22" s="101"/>
    </row>
    <row r="23" spans="1:11" s="102" customFormat="1" ht="15.75" customHeight="1" x14ac:dyDescent="0.25">
      <c r="A23" s="101"/>
      <c r="B23" s="101"/>
      <c r="C23" s="107"/>
      <c r="D23" s="107"/>
      <c r="E23" s="107"/>
      <c r="F23" s="107"/>
      <c r="G23" s="107"/>
      <c r="H23" s="107"/>
      <c r="I23" s="107"/>
      <c r="J23" s="107"/>
      <c r="K23" s="101"/>
    </row>
    <row r="24" spans="1:11" s="102" customFormat="1" ht="15.75" customHeight="1" x14ac:dyDescent="0.25">
      <c r="A24" s="101"/>
      <c r="B24" s="101"/>
      <c r="C24" s="107"/>
      <c r="D24" s="107"/>
      <c r="E24" s="107"/>
      <c r="F24" s="107"/>
      <c r="G24" s="107"/>
      <c r="H24" s="107"/>
      <c r="I24" s="107"/>
      <c r="J24" s="107"/>
      <c r="K24" s="101"/>
    </row>
    <row r="25" spans="1:11" s="102" customFormat="1" ht="15.75" customHeight="1" x14ac:dyDescent="0.25">
      <c r="A25" s="101"/>
      <c r="B25" s="101"/>
      <c r="C25" s="107"/>
      <c r="D25" s="107"/>
      <c r="E25" s="107"/>
      <c r="F25" s="107"/>
      <c r="G25" s="107"/>
      <c r="H25" s="107"/>
      <c r="I25" s="107"/>
      <c r="J25" s="107"/>
      <c r="K25" s="101"/>
    </row>
    <row r="26" spans="1:11" s="102" customFormat="1" ht="15.75" customHeight="1" x14ac:dyDescent="0.25">
      <c r="A26" s="101"/>
      <c r="B26" s="101"/>
      <c r="C26" s="107"/>
      <c r="D26" s="107"/>
      <c r="E26" s="107"/>
      <c r="F26" s="107"/>
      <c r="G26" s="107"/>
      <c r="H26" s="107"/>
      <c r="I26" s="107"/>
      <c r="J26" s="107"/>
      <c r="K26" s="101"/>
    </row>
    <row r="27" spans="1:11" s="102" customFormat="1" ht="15.75" customHeight="1" x14ac:dyDescent="0.25">
      <c r="A27" s="101"/>
      <c r="B27" s="101"/>
      <c r="C27" s="107"/>
      <c r="D27" s="107"/>
      <c r="E27" s="107"/>
      <c r="F27" s="107"/>
      <c r="G27" s="107"/>
      <c r="H27" s="107"/>
      <c r="I27" s="107"/>
      <c r="J27" s="107"/>
      <c r="K27" s="101"/>
    </row>
    <row r="28" spans="1:11" s="102" customFormat="1" ht="15.75" customHeight="1" x14ac:dyDescent="0.25">
      <c r="A28" s="101"/>
      <c r="B28" s="101"/>
      <c r="C28" s="107"/>
      <c r="D28" s="107"/>
      <c r="E28" s="107"/>
      <c r="F28" s="107"/>
      <c r="G28" s="107"/>
      <c r="H28" s="107"/>
      <c r="I28" s="107"/>
      <c r="J28" s="107"/>
      <c r="K28" s="101"/>
    </row>
    <row r="29" spans="1:11" s="102" customFormat="1" ht="15.75" customHeight="1" x14ac:dyDescent="0.25">
      <c r="A29" s="101"/>
      <c r="B29" s="101"/>
      <c r="C29" s="107"/>
      <c r="D29" s="107"/>
      <c r="E29" s="107"/>
      <c r="F29" s="107"/>
      <c r="G29" s="107"/>
      <c r="H29" s="107"/>
      <c r="I29" s="107"/>
      <c r="J29" s="107"/>
      <c r="K29" s="101"/>
    </row>
    <row r="30" spans="1:11" s="102" customFormat="1" ht="15.75" customHeight="1" x14ac:dyDescent="0.25">
      <c r="A30" s="101"/>
      <c r="B30" s="101"/>
      <c r="C30" s="107"/>
      <c r="D30" s="107"/>
      <c r="E30" s="107"/>
      <c r="F30" s="107"/>
      <c r="G30" s="107"/>
      <c r="H30" s="107"/>
      <c r="I30" s="107"/>
      <c r="J30" s="107"/>
      <c r="K30" s="101"/>
    </row>
    <row r="31" spans="1:11" s="102" customFormat="1" ht="15.75" customHeight="1" x14ac:dyDescent="0.25">
      <c r="A31" s="101"/>
      <c r="B31" s="101"/>
      <c r="C31" s="107"/>
      <c r="D31" s="107"/>
      <c r="E31" s="107"/>
      <c r="F31" s="107"/>
      <c r="G31" s="107"/>
      <c r="H31" s="107"/>
      <c r="I31" s="107"/>
      <c r="J31" s="107"/>
      <c r="K31" s="101"/>
    </row>
    <row r="32" spans="1:11" s="102" customFormat="1" ht="15.75" customHeight="1" x14ac:dyDescent="0.25">
      <c r="A32" s="101"/>
      <c r="B32" s="101"/>
      <c r="C32" s="107"/>
      <c r="D32" s="107"/>
      <c r="E32" s="107"/>
      <c r="F32" s="107"/>
      <c r="G32" s="107"/>
      <c r="H32" s="107"/>
      <c r="I32" s="107"/>
      <c r="J32" s="107"/>
      <c r="K32" s="101"/>
    </row>
    <row r="33" spans="1:11" s="102" customFormat="1" ht="15.75" customHeight="1" x14ac:dyDescent="0.25">
      <c r="A33" s="101"/>
      <c r="B33" s="101"/>
      <c r="C33" s="107"/>
      <c r="D33" s="107"/>
      <c r="E33" s="107"/>
      <c r="F33" s="107"/>
      <c r="G33" s="107"/>
      <c r="H33" s="107"/>
      <c r="I33" s="107"/>
      <c r="J33" s="107"/>
      <c r="K33" s="101"/>
    </row>
    <row r="34" spans="1:11" s="102" customFormat="1" ht="15.75" customHeight="1" x14ac:dyDescent="0.25">
      <c r="A34" s="101"/>
      <c r="B34" s="101"/>
      <c r="C34" s="107"/>
      <c r="D34" s="107"/>
      <c r="E34" s="107"/>
      <c r="F34" s="107"/>
      <c r="G34" s="107"/>
      <c r="H34" s="107"/>
      <c r="I34" s="107"/>
      <c r="J34" s="107"/>
      <c r="K34" s="101"/>
    </row>
    <row r="35" spans="1:11" s="102" customFormat="1" ht="15.75" customHeight="1" x14ac:dyDescent="0.25">
      <c r="A35" s="101"/>
      <c r="B35" s="101"/>
      <c r="C35" s="145" t="s">
        <v>96</v>
      </c>
      <c r="D35" s="145"/>
      <c r="E35" s="145"/>
      <c r="F35" s="107"/>
      <c r="G35" s="107"/>
      <c r="H35" s="107"/>
      <c r="I35" s="107"/>
      <c r="J35" s="107"/>
      <c r="K35" s="101"/>
    </row>
    <row r="36" spans="1:11" s="102" customFormat="1" ht="15.75" customHeight="1" x14ac:dyDescent="0.25">
      <c r="A36" s="101"/>
      <c r="B36" s="101"/>
      <c r="C36" s="144" t="s">
        <v>175</v>
      </c>
      <c r="D36" s="144"/>
      <c r="E36" s="144"/>
      <c r="F36" s="144"/>
      <c r="G36" s="144"/>
      <c r="H36" s="144"/>
      <c r="I36" s="144"/>
      <c r="J36" s="144"/>
      <c r="K36" s="101"/>
    </row>
    <row r="37" spans="1:11" s="102" customFormat="1" ht="15.75" customHeight="1" x14ac:dyDescent="0.25">
      <c r="A37" s="101"/>
      <c r="B37" s="101"/>
      <c r="C37" s="144"/>
      <c r="D37" s="144"/>
      <c r="E37" s="144"/>
      <c r="F37" s="144"/>
      <c r="G37" s="144"/>
      <c r="H37" s="144"/>
      <c r="I37" s="144"/>
      <c r="J37" s="144"/>
      <c r="K37" s="101"/>
    </row>
    <row r="38" spans="1:11" s="102" customFormat="1" ht="15.75" customHeight="1" x14ac:dyDescent="0.25">
      <c r="A38" s="101"/>
      <c r="B38" s="101"/>
      <c r="C38" s="145" t="s">
        <v>97</v>
      </c>
      <c r="D38" s="145"/>
      <c r="E38" s="107"/>
      <c r="F38" s="107"/>
      <c r="G38" s="107"/>
      <c r="H38" s="107"/>
      <c r="I38" s="107"/>
      <c r="J38" s="107"/>
      <c r="K38" s="101"/>
    </row>
    <row r="39" spans="1:11" s="102" customFormat="1" ht="15.75" customHeight="1" x14ac:dyDescent="0.25">
      <c r="A39" s="101"/>
      <c r="B39" s="101"/>
      <c r="C39" s="144" t="s">
        <v>174</v>
      </c>
      <c r="D39" s="144"/>
      <c r="E39" s="144"/>
      <c r="F39" s="144"/>
      <c r="G39" s="144"/>
      <c r="H39" s="144"/>
      <c r="I39" s="144"/>
      <c r="J39" s="144"/>
      <c r="K39" s="101"/>
    </row>
    <row r="40" spans="1:11" s="102" customFormat="1" ht="15.75" customHeight="1" x14ac:dyDescent="0.25">
      <c r="A40" s="101"/>
      <c r="B40" s="101"/>
      <c r="C40" s="144"/>
      <c r="D40" s="144"/>
      <c r="E40" s="144"/>
      <c r="F40" s="144"/>
      <c r="G40" s="144"/>
      <c r="H40" s="144"/>
      <c r="I40" s="144"/>
      <c r="J40" s="144"/>
      <c r="K40" s="101"/>
    </row>
    <row r="41" spans="1:11" s="102" customFormat="1" ht="15.75" customHeight="1" x14ac:dyDescent="0.25">
      <c r="A41" s="101"/>
      <c r="B41" s="101"/>
      <c r="C41" s="107"/>
      <c r="D41" s="107"/>
      <c r="E41" s="107"/>
      <c r="F41" s="107"/>
      <c r="G41" s="107"/>
      <c r="H41" s="107"/>
      <c r="I41" s="107"/>
      <c r="J41" s="107"/>
      <c r="K41" s="101"/>
    </row>
    <row r="42" spans="1:11" s="105" customFormat="1" ht="15.75" customHeight="1" x14ac:dyDescent="0.25">
      <c r="A42" s="76" t="s">
        <v>158</v>
      </c>
      <c r="B42" s="76"/>
      <c r="C42" s="76"/>
      <c r="D42" s="76"/>
      <c r="E42" s="76"/>
      <c r="F42" s="76"/>
      <c r="G42" s="104"/>
      <c r="H42" s="104"/>
      <c r="I42" s="104"/>
      <c r="J42" s="104"/>
      <c r="K42" s="104"/>
    </row>
    <row r="43" spans="1:11" s="102" customFormat="1" ht="15.75" customHeight="1" x14ac:dyDescent="0.25">
      <c r="A43" s="101"/>
      <c r="B43" s="101"/>
      <c r="C43" s="145" t="s">
        <v>98</v>
      </c>
      <c r="D43" s="145"/>
      <c r="E43" s="145"/>
      <c r="F43" s="107"/>
      <c r="G43" s="107"/>
      <c r="H43" s="107"/>
      <c r="I43" s="107"/>
      <c r="J43" s="107"/>
      <c r="K43" s="101"/>
    </row>
    <row r="44" spans="1:11" s="102" customFormat="1" ht="15.75" customHeight="1" x14ac:dyDescent="0.25">
      <c r="A44" s="101"/>
      <c r="B44" s="101"/>
      <c r="C44" s="144" t="s">
        <v>141</v>
      </c>
      <c r="D44" s="144"/>
      <c r="E44" s="144"/>
      <c r="F44" s="144"/>
      <c r="G44" s="144"/>
      <c r="H44" s="144"/>
      <c r="I44" s="144"/>
      <c r="J44" s="144"/>
      <c r="K44" s="101"/>
    </row>
    <row r="45" spans="1:11" s="102" customFormat="1" ht="15.75" customHeight="1" x14ac:dyDescent="0.25">
      <c r="A45" s="101"/>
      <c r="B45" s="101"/>
      <c r="C45" s="144"/>
      <c r="D45" s="144"/>
      <c r="E45" s="144"/>
      <c r="F45" s="144"/>
      <c r="G45" s="144"/>
      <c r="H45" s="144"/>
      <c r="I45" s="144"/>
      <c r="J45" s="144"/>
      <c r="K45" s="101"/>
    </row>
    <row r="46" spans="1:11" s="102" customFormat="1" ht="15.75" customHeight="1" x14ac:dyDescent="0.25">
      <c r="A46" s="101"/>
      <c r="B46" s="101"/>
      <c r="C46" s="144"/>
      <c r="D46" s="144"/>
      <c r="E46" s="144"/>
      <c r="F46" s="144"/>
      <c r="G46" s="144"/>
      <c r="H46" s="144"/>
      <c r="I46" s="144"/>
      <c r="J46" s="144"/>
      <c r="K46" s="101"/>
    </row>
    <row r="47" spans="1:11" s="102" customFormat="1" ht="15.75" customHeight="1" x14ac:dyDescent="0.25">
      <c r="A47" s="101"/>
      <c r="B47" s="101"/>
      <c r="C47" s="145" t="s">
        <v>99</v>
      </c>
      <c r="D47" s="145"/>
      <c r="E47" s="145"/>
      <c r="F47" s="107"/>
      <c r="G47" s="107"/>
      <c r="H47" s="107"/>
      <c r="I47" s="107"/>
      <c r="J47" s="107"/>
      <c r="K47" s="101"/>
    </row>
    <row r="48" spans="1:11" s="102" customFormat="1" ht="15.75" customHeight="1" x14ac:dyDescent="0.25">
      <c r="A48" s="101"/>
      <c r="B48" s="101"/>
      <c r="C48" s="147" t="s">
        <v>142</v>
      </c>
      <c r="D48" s="147"/>
      <c r="E48" s="147"/>
      <c r="F48" s="147"/>
      <c r="G48" s="147"/>
      <c r="H48" s="147"/>
      <c r="I48" s="147"/>
      <c r="J48" s="147"/>
      <c r="K48" s="101"/>
    </row>
    <row r="49" spans="1:15" s="102" customFormat="1" ht="15.75" customHeight="1" x14ac:dyDescent="0.25">
      <c r="A49" s="101"/>
      <c r="B49" s="101"/>
      <c r="C49" s="147"/>
      <c r="D49" s="147"/>
      <c r="E49" s="147"/>
      <c r="F49" s="147"/>
      <c r="G49" s="147"/>
      <c r="H49" s="147"/>
      <c r="I49" s="147"/>
      <c r="J49" s="147"/>
      <c r="K49" s="101"/>
    </row>
    <row r="50" spans="1:15" s="102" customFormat="1" ht="15.75" customHeight="1" x14ac:dyDescent="0.25">
      <c r="A50" s="101"/>
      <c r="B50" s="101"/>
      <c r="C50" s="147"/>
      <c r="D50" s="147"/>
      <c r="E50" s="147"/>
      <c r="F50" s="147"/>
      <c r="G50" s="147"/>
      <c r="H50" s="147"/>
      <c r="I50" s="147"/>
      <c r="J50" s="147"/>
      <c r="K50" s="101"/>
    </row>
    <row r="51" spans="1:15" s="102" customFormat="1" ht="15.75" customHeight="1" x14ac:dyDescent="0.25">
      <c r="A51" s="101"/>
      <c r="B51" s="101"/>
      <c r="C51" s="145" t="s">
        <v>100</v>
      </c>
      <c r="D51" s="145"/>
      <c r="E51" s="145"/>
      <c r="F51" s="107"/>
      <c r="G51" s="107"/>
      <c r="H51" s="107"/>
      <c r="I51" s="107"/>
      <c r="J51" s="107"/>
      <c r="K51" s="101"/>
    </row>
    <row r="52" spans="1:15" s="102" customFormat="1" ht="15.75" customHeight="1" x14ac:dyDescent="0.25">
      <c r="A52" s="101"/>
      <c r="B52" s="101"/>
      <c r="C52" s="101" t="str">
        <f>"Total Insured Weight for your farm - is now calculated at "&amp;TEXT(' LPI Calculator'!C16,"#,###")&amp;" lbs."</f>
        <v>Total Insured Weight for your farm - is now calculated at 436,500 lbs.</v>
      </c>
      <c r="D52" s="101"/>
      <c r="E52" s="101"/>
      <c r="F52" s="101"/>
      <c r="G52" s="101"/>
      <c r="H52" s="101"/>
      <c r="I52" s="101"/>
      <c r="J52" s="101"/>
      <c r="K52" s="101"/>
    </row>
    <row r="53" spans="1:15" s="102" customFormat="1" ht="15.75" customHeight="1" x14ac:dyDescent="0.25">
      <c r="A53" s="101"/>
      <c r="B53" s="101"/>
      <c r="C53" s="145" t="s">
        <v>101</v>
      </c>
      <c r="D53" s="145"/>
      <c r="E53" s="145"/>
      <c r="F53" s="145"/>
      <c r="G53" s="107"/>
      <c r="H53" s="107"/>
      <c r="I53" s="107"/>
      <c r="J53" s="107"/>
      <c r="K53" s="101"/>
    </row>
    <row r="54" spans="1:15" s="102" customFormat="1" ht="15.75" customHeight="1" x14ac:dyDescent="0.25">
      <c r="A54" s="101"/>
      <c r="B54" s="101"/>
      <c r="C54" s="147" t="s">
        <v>176</v>
      </c>
      <c r="D54" s="147"/>
      <c r="E54" s="147"/>
      <c r="F54" s="147"/>
      <c r="G54" s="147"/>
      <c r="H54" s="147"/>
      <c r="I54" s="147"/>
      <c r="J54" s="147"/>
      <c r="K54" s="101"/>
    </row>
    <row r="55" spans="1:15" s="102" customFormat="1" ht="15.75" customHeight="1" x14ac:dyDescent="0.25">
      <c r="A55" s="101"/>
      <c r="B55" s="101"/>
      <c r="C55" s="147"/>
      <c r="D55" s="147"/>
      <c r="E55" s="147"/>
      <c r="F55" s="147"/>
      <c r="G55" s="147"/>
      <c r="H55" s="147"/>
      <c r="I55" s="147"/>
      <c r="J55" s="147"/>
      <c r="K55" s="101"/>
    </row>
    <row r="56" spans="1:15" s="102" customFormat="1" ht="15.75" customHeight="1" x14ac:dyDescent="0.25">
      <c r="A56" s="101"/>
      <c r="B56" s="101"/>
      <c r="C56" s="147"/>
      <c r="D56" s="147"/>
      <c r="E56" s="147"/>
      <c r="F56" s="147"/>
      <c r="G56" s="147"/>
      <c r="H56" s="147"/>
      <c r="I56" s="147"/>
      <c r="J56" s="147"/>
      <c r="K56" s="101"/>
    </row>
    <row r="57" spans="1:15" s="108" customFormat="1" ht="15.75" customHeight="1" x14ac:dyDescent="0.25">
      <c r="C57" s="146" t="s">
        <v>143</v>
      </c>
      <c r="D57" s="146"/>
      <c r="E57" s="146"/>
      <c r="F57" s="146"/>
      <c r="L57" s="8"/>
      <c r="M57" s="8"/>
      <c r="N57" s="8"/>
      <c r="O57" s="8"/>
    </row>
    <row r="58" spans="1:15" s="108" customFormat="1" ht="15.75" customHeight="1" x14ac:dyDescent="0.25">
      <c r="C58" s="148" t="str">
        <f>"Review and update the backgrouding production costs for your farm.   The feed cost is $"&amp;ROUND('Cost of Production'!C16,0)&amp;"/feeder, total operating cost including feed is $"&amp;ROUND('Cost of Production'!C31,0)&amp;"/feeder, fixed cost is $"&amp;ROUND('Cost of Production'!C41,0)&amp;"/feeder, labour cost is $"&amp;ROUND('Cost of Production'!C44,0)&amp;"/feeder and total cost cost is $"&amp;ROUND('Cost of Production'!C46,0)&amp;"/feeder."</f>
        <v>Review and update the backgrouding production costs for your farm.   The feed cost is $313/feeder, total operating cost including feed is $2527/feeder, fixed cost is $34/feeder, labour cost is $27/feeder and total cost cost is $2589/feeder.</v>
      </c>
      <c r="D58" s="148"/>
      <c r="E58" s="148"/>
      <c r="F58" s="148"/>
      <c r="G58" s="148"/>
      <c r="H58" s="148"/>
      <c r="I58" s="148"/>
      <c r="J58" s="148"/>
      <c r="L58" s="8"/>
      <c r="M58" s="8"/>
      <c r="N58" s="8"/>
      <c r="O58" s="8"/>
    </row>
    <row r="59" spans="1:15" s="108" customFormat="1" ht="15.75" customHeight="1" x14ac:dyDescent="0.25">
      <c r="C59" s="148"/>
      <c r="D59" s="148"/>
      <c r="E59" s="148"/>
      <c r="F59" s="148"/>
      <c r="G59" s="148"/>
      <c r="H59" s="148"/>
      <c r="I59" s="148"/>
      <c r="J59" s="148"/>
      <c r="L59" s="8"/>
      <c r="M59" s="8"/>
      <c r="N59" s="8"/>
      <c r="O59" s="8"/>
    </row>
    <row r="60" spans="1:15" s="108" customFormat="1" ht="15.75" customHeight="1" x14ac:dyDescent="0.25">
      <c r="C60" s="148"/>
      <c r="D60" s="148"/>
      <c r="E60" s="148"/>
      <c r="F60" s="148"/>
      <c r="G60" s="148"/>
      <c r="H60" s="148"/>
      <c r="I60" s="148"/>
      <c r="J60" s="148"/>
      <c r="L60" s="8"/>
      <c r="M60" s="8"/>
      <c r="N60" s="8"/>
      <c r="O60" s="8"/>
    </row>
    <row r="61" spans="1:15" ht="15.75" customHeight="1" x14ac:dyDescent="0.25">
      <c r="C61" s="148" t="str">
        <f>"Review your breakeven prices -  over operating cost is $"&amp;ROUND('Cost of Production'!C49,2)&amp;"/cwt,  over operating and fixed costs is $"&amp;ROUND('Cost of Production'!C50,2)&amp;"/cwt, and over operating, fixed and labour costs is $"&amp;ROUND('Cost of Production'!C51,2)&amp;"/cwt.  Knowing your farm's breakeven prices can help determine LPIP Insured Index ($/cwt) that adequately manages both your risk and liabilities."</f>
        <v>Review your breakeven prices -  over operating cost is $2.9/cwt,  over operating and fixed costs is $2.93/cwt, and over operating, fixed and labour costs is $2.97/cwt.  Knowing your farm's breakeven prices can help determine LPIP Insured Index ($/cwt) that adequately manages both your risk and liabilities.</v>
      </c>
      <c r="D61" s="148"/>
      <c r="E61" s="148"/>
      <c r="F61" s="148"/>
      <c r="G61" s="148"/>
      <c r="H61" s="148"/>
      <c r="I61" s="148"/>
      <c r="J61" s="148"/>
    </row>
    <row r="62" spans="1:15" ht="15.75" customHeight="1" x14ac:dyDescent="0.25">
      <c r="C62" s="148"/>
      <c r="D62" s="148"/>
      <c r="E62" s="148"/>
      <c r="F62" s="148"/>
      <c r="G62" s="148"/>
      <c r="H62" s="148"/>
      <c r="I62" s="148"/>
      <c r="J62" s="148"/>
    </row>
    <row r="63" spans="1:15" ht="15.75" customHeight="1" x14ac:dyDescent="0.25">
      <c r="C63" s="148"/>
      <c r="D63" s="148"/>
      <c r="E63" s="148"/>
      <c r="F63" s="148"/>
      <c r="G63" s="148"/>
      <c r="H63" s="148"/>
      <c r="I63" s="148"/>
      <c r="J63" s="148"/>
    </row>
    <row r="64" spans="1:15" ht="15.75" customHeight="1" x14ac:dyDescent="0.25"/>
    <row r="65" spans="1:15" s="105" customFormat="1" ht="15.75" customHeight="1" x14ac:dyDescent="0.25">
      <c r="A65" s="76" t="s">
        <v>159</v>
      </c>
      <c r="B65" s="76"/>
      <c r="C65" s="76"/>
      <c r="D65" s="76"/>
      <c r="E65" s="76"/>
      <c r="F65" s="76"/>
      <c r="G65" s="104"/>
      <c r="H65" s="104"/>
      <c r="I65" s="104"/>
      <c r="J65" s="104"/>
      <c r="K65" s="104"/>
    </row>
    <row r="66" spans="1:15" s="108" customFormat="1" ht="15.75" customHeight="1" x14ac:dyDescent="0.25">
      <c r="C66" s="146" t="s">
        <v>102</v>
      </c>
      <c r="D66" s="146"/>
      <c r="E66" s="146"/>
      <c r="L66" s="8"/>
      <c r="M66" s="8"/>
      <c r="N66" s="8"/>
      <c r="O66" s="8"/>
    </row>
    <row r="67" spans="1:15" ht="15" x14ac:dyDescent="0.25">
      <c r="C67" s="113" t="str">
        <f>' LPI Calculator'!A55</f>
        <v>Premium Cost ($/head) = Insured Weight (cwt) x Premium ($/cwt)   (eg. (873lbs /100) x $6.82 = $59.54)</v>
      </c>
    </row>
    <row r="68" spans="1:15" s="108" customFormat="1" ht="15.75" customHeight="1" x14ac:dyDescent="0.25">
      <c r="C68" s="146" t="s">
        <v>103</v>
      </c>
      <c r="D68" s="146"/>
      <c r="E68" s="146"/>
      <c r="L68" s="8"/>
      <c r="M68" s="8"/>
      <c r="N68" s="8"/>
      <c r="O68" s="8"/>
    </row>
    <row r="69" spans="1:15" ht="15" x14ac:dyDescent="0.25">
      <c r="C69" s="113" t="str">
        <f>' LPI Calculator'!A56</f>
        <v>Insured Value ($/head) = Insured Index ($/cwt) x Insured Weight (cwt)   (eg. $318 x (873lbs/100) = $2776.14)</v>
      </c>
    </row>
    <row r="70" spans="1:15" s="108" customFormat="1" ht="15.75" customHeight="1" x14ac:dyDescent="0.25">
      <c r="C70" s="146" t="s">
        <v>102</v>
      </c>
      <c r="D70" s="146"/>
      <c r="E70" s="146"/>
      <c r="L70" s="8"/>
      <c r="M70" s="8"/>
      <c r="N70" s="8"/>
      <c r="O70" s="8"/>
    </row>
    <row r="71" spans="1:15" ht="15" customHeight="1" x14ac:dyDescent="0.25">
      <c r="C71" s="148" t="str">
        <f>' LPI Calculator'!A57</f>
        <v>Premium Cost (% of Insured Value) = Premium Cost ($/head) / Insured Value ($/head)   (eg. $59.54 / $2776.14 = 2.14%)</v>
      </c>
      <c r="D71" s="148"/>
      <c r="E71" s="148"/>
      <c r="F71" s="148"/>
      <c r="G71" s="148"/>
      <c r="H71" s="148"/>
      <c r="I71" s="148"/>
      <c r="J71" s="148"/>
    </row>
    <row r="72" spans="1:15" ht="15" customHeight="1" x14ac:dyDescent="0.25">
      <c r="C72" s="148"/>
      <c r="D72" s="148"/>
      <c r="E72" s="148"/>
      <c r="F72" s="148"/>
      <c r="G72" s="148"/>
      <c r="H72" s="148"/>
      <c r="I72" s="148"/>
      <c r="J72" s="148"/>
    </row>
    <row r="73" spans="1:15" s="108" customFormat="1" ht="15.75" customHeight="1" x14ac:dyDescent="0.25">
      <c r="C73" s="146" t="s">
        <v>104</v>
      </c>
      <c r="D73" s="146"/>
      <c r="E73" s="146"/>
      <c r="L73" s="8"/>
      <c r="M73" s="8"/>
      <c r="N73" s="8"/>
      <c r="O73" s="8"/>
    </row>
    <row r="74" spans="1:15" ht="15.75" customHeight="1" x14ac:dyDescent="0.25">
      <c r="C74" s="149" t="s">
        <v>160</v>
      </c>
      <c r="D74" s="149"/>
      <c r="E74" s="149"/>
      <c r="F74" s="149"/>
      <c r="G74" s="149"/>
      <c r="H74" s="149"/>
      <c r="I74" s="149"/>
      <c r="J74" s="149"/>
    </row>
    <row r="75" spans="1:15" ht="15.75" customHeight="1" x14ac:dyDescent="0.25">
      <c r="C75" s="149"/>
      <c r="D75" s="149"/>
      <c r="E75" s="149"/>
      <c r="F75" s="149"/>
      <c r="G75" s="149"/>
      <c r="H75" s="149"/>
      <c r="I75" s="149"/>
      <c r="J75" s="149"/>
    </row>
    <row r="76" spans="1:15" ht="15.75" customHeight="1" x14ac:dyDescent="0.25">
      <c r="C76" s="149"/>
      <c r="D76" s="149"/>
      <c r="E76" s="149"/>
      <c r="F76" s="149"/>
      <c r="G76" s="149"/>
      <c r="H76" s="149"/>
      <c r="I76" s="149"/>
      <c r="J76" s="149"/>
    </row>
    <row r="77" spans="1:15" s="108" customFormat="1" ht="15.75" customHeight="1" x14ac:dyDescent="0.25">
      <c r="C77" s="146" t="s">
        <v>107</v>
      </c>
      <c r="D77" s="146"/>
      <c r="E77" s="146"/>
      <c r="F77" s="146"/>
      <c r="G77" s="146"/>
      <c r="H77" s="146"/>
      <c r="I77" s="146"/>
      <c r="J77" s="146"/>
      <c r="L77" s="8"/>
      <c r="M77" s="8"/>
      <c r="N77" s="8"/>
      <c r="O77" s="8"/>
    </row>
    <row r="78" spans="1:15" ht="15" customHeight="1" x14ac:dyDescent="0.25">
      <c r="C78" s="148" t="s">
        <v>110</v>
      </c>
      <c r="D78" s="148"/>
      <c r="E78" s="148"/>
      <c r="F78" s="148"/>
      <c r="G78" s="148"/>
      <c r="H78" s="148"/>
      <c r="I78" s="148"/>
      <c r="J78" s="148"/>
    </row>
    <row r="79" spans="1:15" ht="15" customHeight="1" x14ac:dyDescent="0.25">
      <c r="C79" s="148"/>
      <c r="D79" s="148"/>
      <c r="E79" s="148"/>
      <c r="F79" s="148"/>
      <c r="G79" s="148"/>
      <c r="H79" s="148"/>
      <c r="I79" s="148"/>
      <c r="J79" s="148"/>
    </row>
    <row r="80" spans="1:15" ht="15.75" customHeight="1" x14ac:dyDescent="0.25">
      <c r="C80" s="148" t="str">
        <f>' LPI Calculator'!A58</f>
        <v>Incremental Coverage Cost (per $1 of Inc. Coverage) = (Premium Cost  - Premium Cost (lower level) / (Insured Value - Insured Value (lower level))   (eg. ($59.54 - $57.27) / ($2776.14 - $2758.68) = $.13)</v>
      </c>
      <c r="D80" s="148"/>
      <c r="E80" s="148"/>
      <c r="F80" s="148"/>
      <c r="G80" s="148"/>
      <c r="H80" s="148"/>
      <c r="I80" s="148"/>
      <c r="J80" s="148"/>
    </row>
    <row r="81" spans="1:15" ht="15.75" customHeight="1" x14ac:dyDescent="0.25">
      <c r="C81" s="148"/>
      <c r="D81" s="148"/>
      <c r="E81" s="148"/>
      <c r="F81" s="148"/>
      <c r="G81" s="148"/>
      <c r="H81" s="148"/>
      <c r="I81" s="148"/>
      <c r="J81" s="148"/>
    </row>
    <row r="82" spans="1:15" ht="15.75" customHeight="1" x14ac:dyDescent="0.25">
      <c r="C82" s="112"/>
      <c r="D82" s="112"/>
      <c r="E82" s="112"/>
      <c r="F82" s="112"/>
      <c r="G82" s="112"/>
      <c r="H82" s="112"/>
      <c r="I82" s="112"/>
      <c r="J82" s="112"/>
    </row>
    <row r="83" spans="1:15" s="105" customFormat="1" ht="15.75" customHeight="1" x14ac:dyDescent="0.25">
      <c r="A83" s="76" t="s">
        <v>161</v>
      </c>
      <c r="B83" s="76"/>
      <c r="C83" s="76"/>
      <c r="D83" s="76"/>
      <c r="E83" s="76"/>
      <c r="F83" s="76"/>
      <c r="G83" s="104"/>
      <c r="H83" s="104"/>
      <c r="I83" s="104"/>
      <c r="J83" s="104"/>
      <c r="K83" s="104"/>
    </row>
    <row r="84" spans="1:15" s="108" customFormat="1" ht="15.75" customHeight="1" x14ac:dyDescent="0.25">
      <c r="C84" s="146" t="s">
        <v>162</v>
      </c>
      <c r="D84" s="146"/>
      <c r="E84" s="146"/>
      <c r="L84" s="8"/>
      <c r="M84" s="8"/>
      <c r="N84" s="8"/>
      <c r="O84" s="8"/>
    </row>
    <row r="85" spans="1:15" s="102" customFormat="1" ht="15.75" customHeight="1" x14ac:dyDescent="0.25">
      <c r="A85" s="101"/>
      <c r="B85" s="101"/>
      <c r="C85" s="101" t="str">
        <f>"LPIP Payment at Estimated Settlement Price = $"&amp;' LPI Calculator'!I14&amp;"/cwt on a per head and total basis."</f>
        <v>LPIP Payment at Estimated Settlement Price = $280/cwt on a per head and total basis.</v>
      </c>
      <c r="D85" s="101"/>
      <c r="E85" s="101"/>
      <c r="F85" s="101"/>
      <c r="G85" s="101"/>
      <c r="H85" s="101"/>
      <c r="I85" s="101"/>
      <c r="J85" s="101"/>
      <c r="K85" s="101"/>
    </row>
    <row r="86" spans="1:15" ht="15.75" customHeight="1" x14ac:dyDescent="0.25">
      <c r="C86" s="150" t="str">
        <f>' LPI Calculator'!A59</f>
        <v>LPIP Payment ($/head) = (Insured Index ($/cwt) - Estimated Settlement Price ($/cwt))) x (Insured  Weight (lbs)/100)     (eg. ($318 - $280) x (873 lbs/100) = $331.74)</v>
      </c>
      <c r="D86" s="150"/>
      <c r="E86" s="150"/>
      <c r="F86" s="150"/>
      <c r="G86" s="150"/>
      <c r="H86" s="150"/>
      <c r="I86" s="150"/>
      <c r="J86" s="150"/>
    </row>
    <row r="87" spans="1:15" ht="15.75" customHeight="1" x14ac:dyDescent="0.25">
      <c r="C87" s="150"/>
      <c r="D87" s="150"/>
      <c r="E87" s="150"/>
      <c r="F87" s="150"/>
      <c r="G87" s="150"/>
      <c r="H87" s="150"/>
      <c r="I87" s="150"/>
      <c r="J87" s="150"/>
    </row>
    <row r="88" spans="1:15" s="108" customFormat="1" ht="15.75" customHeight="1" x14ac:dyDescent="0.25">
      <c r="C88" s="146" t="s">
        <v>163</v>
      </c>
      <c r="D88" s="146"/>
      <c r="E88" s="146"/>
      <c r="F88" s="146"/>
      <c r="G88" s="146"/>
      <c r="H88" s="146"/>
      <c r="L88" s="8"/>
      <c r="M88" s="8"/>
      <c r="N88" s="8"/>
      <c r="O88" s="8"/>
    </row>
    <row r="89" spans="1:15" ht="15.75" customHeight="1" x14ac:dyDescent="0.25">
      <c r="C89" s="150" t="str">
        <f>' LPI Calculator'!A60</f>
        <v>Cost Not Covered by LPIP Insured Value ($/head) =  Cost of Production ($/head) + LPIP Premium ($/head) - LPIP Insured Value ($/head)   (eg. $2589 + $59.54 - $2776.14 = $0)</v>
      </c>
      <c r="D89" s="150"/>
      <c r="E89" s="150"/>
      <c r="F89" s="150"/>
      <c r="G89" s="150"/>
      <c r="H89" s="150"/>
      <c r="I89" s="150"/>
      <c r="J89" s="150"/>
    </row>
    <row r="90" spans="1:15" ht="15.75" customHeight="1" x14ac:dyDescent="0.25">
      <c r="C90" s="150"/>
      <c r="D90" s="150"/>
      <c r="E90" s="150"/>
      <c r="F90" s="150"/>
      <c r="G90" s="150"/>
      <c r="H90" s="150"/>
      <c r="I90" s="150"/>
      <c r="J90" s="150"/>
    </row>
    <row r="91" spans="1:15" ht="15.75" customHeight="1" x14ac:dyDescent="0.25">
      <c r="C91" s="147" t="s">
        <v>165</v>
      </c>
      <c r="D91" s="147"/>
      <c r="E91" s="147"/>
      <c r="F91" s="147"/>
      <c r="G91" s="147"/>
      <c r="H91" s="147"/>
      <c r="I91" s="147"/>
      <c r="J91" s="147"/>
    </row>
    <row r="92" spans="1:15" ht="15.75" customHeight="1" x14ac:dyDescent="0.25">
      <c r="C92" s="147"/>
      <c r="D92" s="147"/>
      <c r="E92" s="147"/>
      <c r="F92" s="147"/>
      <c r="G92" s="147"/>
      <c r="H92" s="147"/>
      <c r="I92" s="147"/>
      <c r="J92" s="147"/>
    </row>
    <row r="93" spans="1:15" ht="15.75" customHeight="1" x14ac:dyDescent="0.25">
      <c r="C93" s="147"/>
      <c r="D93" s="147"/>
      <c r="E93" s="147"/>
      <c r="F93" s="147"/>
      <c r="G93" s="147"/>
      <c r="H93" s="147"/>
      <c r="I93" s="147"/>
      <c r="J93" s="147"/>
    </row>
    <row r="95" spans="1:15" s="105" customFormat="1" ht="15.75" customHeight="1" x14ac:dyDescent="0.25">
      <c r="A95" s="76" t="s">
        <v>108</v>
      </c>
      <c r="B95" s="76"/>
      <c r="C95" s="76"/>
      <c r="D95" s="76"/>
      <c r="E95" s="76"/>
      <c r="F95" s="76"/>
      <c r="G95" s="104"/>
      <c r="H95" s="104"/>
      <c r="I95" s="104"/>
      <c r="J95" s="104"/>
      <c r="K95" s="104"/>
    </row>
    <row r="96" spans="1:15" s="108" customFormat="1" ht="15.75" customHeight="1" x14ac:dyDescent="0.25">
      <c r="C96" s="146" t="s">
        <v>109</v>
      </c>
      <c r="D96" s="146"/>
      <c r="E96" s="146"/>
      <c r="F96" s="146"/>
      <c r="L96" s="8"/>
      <c r="M96" s="8"/>
      <c r="N96" s="8"/>
      <c r="O96" s="8"/>
    </row>
    <row r="97" spans="3:10" ht="15.75" customHeight="1" x14ac:dyDescent="0.25">
      <c r="C97" s="148" t="str">
        <f>' LPI Calculator'!A61</f>
        <v>Marginal Return ($/head) = ((Est. Settlement Price ($/cwt) x (Insured Weight (lbs) / 100)) + LPIP Payment ($/head) - (Costs ($/head) + LPIP Premium($/head)))   (eg. (($280 x (873 lbs/100)) + $454 - ($0 + $75.43) = $234.31)</v>
      </c>
      <c r="D97" s="148"/>
      <c r="E97" s="148"/>
      <c r="F97" s="148"/>
      <c r="G97" s="148"/>
      <c r="H97" s="148"/>
      <c r="I97" s="148"/>
      <c r="J97" s="148"/>
    </row>
    <row r="98" spans="3:10" ht="15.75" customHeight="1" x14ac:dyDescent="0.25">
      <c r="C98" s="148"/>
      <c r="D98" s="148"/>
      <c r="E98" s="148"/>
      <c r="F98" s="148"/>
      <c r="G98" s="148"/>
      <c r="H98" s="148"/>
      <c r="I98" s="148"/>
      <c r="J98" s="148"/>
    </row>
    <row r="99" spans="3:10" ht="15.75" customHeight="1" x14ac:dyDescent="0.25">
      <c r="C99" s="148"/>
      <c r="D99" s="148"/>
      <c r="E99" s="148"/>
      <c r="F99" s="148"/>
      <c r="G99" s="148"/>
      <c r="H99" s="148"/>
      <c r="I99" s="148"/>
      <c r="J99" s="148"/>
    </row>
    <row r="100" spans="3:10" ht="15.75" customHeight="1" x14ac:dyDescent="0.25">
      <c r="C100" s="147" t="s">
        <v>164</v>
      </c>
      <c r="D100" s="147"/>
      <c r="E100" s="147"/>
      <c r="F100" s="147"/>
      <c r="G100" s="147"/>
      <c r="H100" s="147"/>
      <c r="I100" s="147"/>
      <c r="J100" s="147"/>
    </row>
    <row r="101" spans="3:10" ht="15.75" customHeight="1" x14ac:dyDescent="0.25">
      <c r="C101" s="147"/>
      <c r="D101" s="147"/>
      <c r="E101" s="147"/>
      <c r="F101" s="147"/>
      <c r="G101" s="147"/>
      <c r="H101" s="147"/>
      <c r="I101" s="147"/>
      <c r="J101" s="147"/>
    </row>
  </sheetData>
  <mergeCells count="36">
    <mergeCell ref="C57:F57"/>
    <mergeCell ref="C54:J56"/>
    <mergeCell ref="C47:E47"/>
    <mergeCell ref="C43:E43"/>
    <mergeCell ref="C36:J37"/>
    <mergeCell ref="C53:F53"/>
    <mergeCell ref="C97:J99"/>
    <mergeCell ref="C100:J101"/>
    <mergeCell ref="C84:E84"/>
    <mergeCell ref="C86:J87"/>
    <mergeCell ref="C89:J90"/>
    <mergeCell ref="C91:J93"/>
    <mergeCell ref="C96:F96"/>
    <mergeCell ref="C88:H88"/>
    <mergeCell ref="C61:J63"/>
    <mergeCell ref="C58:J60"/>
    <mergeCell ref="C70:E70"/>
    <mergeCell ref="C77:J77"/>
    <mergeCell ref="C80:J81"/>
    <mergeCell ref="C73:E73"/>
    <mergeCell ref="C78:J79"/>
    <mergeCell ref="C74:J76"/>
    <mergeCell ref="C71:J72"/>
    <mergeCell ref="C66:E66"/>
    <mergeCell ref="C68:E68"/>
    <mergeCell ref="A3:J3"/>
    <mergeCell ref="A4:J6"/>
    <mergeCell ref="C11:J12"/>
    <mergeCell ref="B9:D9"/>
    <mergeCell ref="C51:E51"/>
    <mergeCell ref="B10:E10"/>
    <mergeCell ref="C39:J40"/>
    <mergeCell ref="C44:J46"/>
    <mergeCell ref="C48:J50"/>
    <mergeCell ref="C38:D38"/>
    <mergeCell ref="C35:E35"/>
  </mergeCells>
  <hyperlinks>
    <hyperlink ref="B10" r:id="rId1" display="Premiums and Settlements:" xr:uid="{00000000-0004-0000-0100-000000000000}"/>
    <hyperlink ref="B10:E10" r:id="rId2" display="Click on Premiums and Settlements:" xr:uid="{00000000-0004-0000-0100-000001000000}"/>
    <hyperlink ref="C38" location="WLPIP!C10" display="Enter Premiums ($/cwt) " xr:uid="{00000000-0004-0000-0100-000002000000}"/>
    <hyperlink ref="B9" r:id="rId3" display="Go to WCPIP - Calf website" xr:uid="{00000000-0004-0000-0100-000003000000}"/>
    <hyperlink ref="C43" location="WLPIP!C14" display="Enter Insured Weight (lbs) " xr:uid="{00000000-0004-0000-0100-000004000000}"/>
    <hyperlink ref="C47" location="WLPIP!C15" display="Enter Number of Calves (head) " xr:uid="{00000000-0004-0000-0100-000005000000}"/>
    <hyperlink ref="C51" location="WLPIP!C16" display="Total Insured Weight (lbs) " xr:uid="{00000000-0004-0000-0100-000006000000}"/>
    <hyperlink ref="C53" location="WLPIP!I14" display="Enter Number of Calves (head) " xr:uid="{00000000-0004-0000-0100-000007000000}"/>
    <hyperlink ref="C57" location="'Cost of Production'!C10" display="Review Cow-calf Cost of Production" xr:uid="{00000000-0004-0000-0100-000008000000}"/>
    <hyperlink ref="C66" location="'Cost of Production'!C10" display="Review Cow-calf Cost of Production" xr:uid="{00000000-0004-0000-0100-000009000000}"/>
    <hyperlink ref="C66:E66" location="' LPI Calculator'!A20" display="Review Premium Cost" xr:uid="{00000000-0004-0000-0100-00000A000000}"/>
    <hyperlink ref="C68" location="'Cost of Production'!C10" display="Review Cow-calf Cost of Production" xr:uid="{00000000-0004-0000-0100-00000B000000}"/>
    <hyperlink ref="C68:E68" location="' LPI Calculator'!A21" display="Review Insured Value" xr:uid="{00000000-0004-0000-0100-00000C000000}"/>
    <hyperlink ref="C70" location="'Cost of Production'!C10" display="Review Cow-calf Cost of Production" xr:uid="{00000000-0004-0000-0100-00000D000000}"/>
    <hyperlink ref="C70:E70" location="' LPI Calculator'!A23" display="Review Premium Cost" xr:uid="{00000000-0004-0000-0100-00000E000000}"/>
    <hyperlink ref="C77" location="'Cost of Production'!C10" display="Review Cow-calf Cost of Production" xr:uid="{00000000-0004-0000-0100-00000F000000}"/>
    <hyperlink ref="C77:E77" location="WLPIP!B31" display="Review Premium Cost" xr:uid="{00000000-0004-0000-0100-000010000000}"/>
    <hyperlink ref="C73" location="'Cost of Production'!C10" display="Review Cow-calf Cost of Production" xr:uid="{00000000-0004-0000-0100-000011000000}"/>
    <hyperlink ref="C73:E73" location="' LPI Calculator'!A25" display="Review Total Premium Cost" xr:uid="{00000000-0004-0000-0100-000012000000}"/>
    <hyperlink ref="C84" location="'Cost of Production'!C10" display="Review Cow-calf Cost of Production" xr:uid="{00000000-0004-0000-0100-000013000000}"/>
    <hyperlink ref="C84:E84" location="' LPI Calculator'!B36" display="Review Estimated LPIP Payment" xr:uid="{00000000-0004-0000-0100-000014000000}"/>
    <hyperlink ref="C88" location="WLPIP!A39" display="Review Production Costs Not Covered by the WLPIP Insured Price" xr:uid="{00000000-0004-0000-0100-000015000000}"/>
    <hyperlink ref="C88:E88" location="WLPIP!B36" display="Review Estimated WLPIP Payment" xr:uid="{00000000-0004-0000-0100-000016000000}"/>
    <hyperlink ref="C96" location="'Cost of Production'!C10" display="Review Cow-calf Cost of Production" xr:uid="{00000000-0004-0000-0100-000017000000}"/>
    <hyperlink ref="C96:E96" location="WLPIP!B36" display="Review Estimated WLPIP Payment" xr:uid="{00000000-0004-0000-0100-000018000000}"/>
    <hyperlink ref="C88:G88" location="' WLPIP Calculator'!A39" display="Review Production Costs Not Covered by the WLPIP Insured Price" xr:uid="{00000000-0004-0000-0100-000019000000}"/>
    <hyperlink ref="C96:F96" location="' LPI Calculator'!A47" display="Review Marginal Returns (Profitability)" xr:uid="{00000000-0004-0000-0100-00001A000000}"/>
    <hyperlink ref="C38:D38" location="' LPI Calculator'!C10" display="Enter Premiums ($/cwt) " xr:uid="{00000000-0004-0000-0100-00001B000000}"/>
    <hyperlink ref="C43:E43" location="' LPI Calculator'!C14" display="Enter Insured Weight (lbs) " xr:uid="{00000000-0004-0000-0100-00001C000000}"/>
    <hyperlink ref="C47:E47" location="' LPI Calculator'!C15" display="Enter Number of Calves (head) " xr:uid="{00000000-0004-0000-0100-00001D000000}"/>
    <hyperlink ref="C51:E51" location="' LPI Calculator'!C16" display="Total Insured Weight (lbs) " xr:uid="{00000000-0004-0000-0100-00001E000000}"/>
    <hyperlink ref="C53:F53" location="' LPI Calculator'!I14" display="Enter Estimated Settlement Price ($/cwt) " xr:uid="{00000000-0004-0000-0100-00001F000000}"/>
    <hyperlink ref="C77:J77" location="' LPI Calculator'!B31" display="Review Incremental Coverage Cost Cost" xr:uid="{00000000-0004-0000-0100-000020000000}"/>
    <hyperlink ref="C35:E35" location="' LPI Calculator'!C9" display="Enter Insured Index ($/cwt) " xr:uid="{00000000-0004-0000-0100-000021000000}"/>
    <hyperlink ref="C35" location="WLPIP!C9" display="Enter Insured Index ($/cwt) " xr:uid="{00000000-0004-0000-0100-000022000000}"/>
    <hyperlink ref="B9:D9" r:id="rId4" display="Go to LPI - Feeder website" xr:uid="{00000000-0004-0000-0100-000023000000}"/>
    <hyperlink ref="C88:H88" location="' LPI Calculator'!A39" display="Review Production Costs Not Covered by the LPIP Insured Price" xr:uid="{00000000-0004-0000-0100-000024000000}"/>
  </hyperlinks>
  <pageMargins left="0.51181102362204722" right="0.51181102362204722" top="0.74803149606299213" bottom="0.74803149606299213" header="0.31496062992125984" footer="0.31496062992125984"/>
  <pageSetup scale="79" firstPageNumber="2" fitToHeight="2" orientation="portrait" useFirstPageNumber="1" r:id="rId5"/>
  <headerFooter>
    <oddFooter xml:space="preserve">&amp;R
</oddFooter>
  </headerFooter>
  <rowBreaks count="1" manualBreakCount="1">
    <brk id="57" max="10"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S59"/>
  <sheetViews>
    <sheetView zoomScaleNormal="100" workbookViewId="0">
      <selection activeCell="E10" sqref="E10"/>
    </sheetView>
  </sheetViews>
  <sheetFormatPr defaultRowHeight="15" x14ac:dyDescent="0.25"/>
  <cols>
    <col min="1" max="1" width="2.6328125" customWidth="1"/>
    <col min="2" max="2" width="32.1796875" customWidth="1"/>
    <col min="3" max="3" width="9.7265625" bestFit="1" customWidth="1"/>
  </cols>
  <sheetData>
    <row r="3" spans="1:19" s="10" customFormat="1" ht="17.399999999999999" x14ac:dyDescent="0.3">
      <c r="A3" s="151" t="s">
        <v>111</v>
      </c>
      <c r="B3" s="152"/>
      <c r="C3" s="152"/>
      <c r="D3" s="152"/>
      <c r="E3" s="152"/>
      <c r="F3" s="152"/>
      <c r="G3" s="152"/>
      <c r="H3" s="152"/>
      <c r="I3" s="152"/>
    </row>
    <row r="4" spans="1:19" s="10" customFormat="1" x14ac:dyDescent="0.25"/>
    <row r="5" spans="1:19" s="15" customFormat="1" ht="15.75" customHeight="1" x14ac:dyDescent="0.25">
      <c r="A5" s="50" t="s">
        <v>43</v>
      </c>
      <c r="C5" s="51"/>
      <c r="D5" s="51"/>
    </row>
    <row r="8" spans="1:19" s="2" customFormat="1" ht="15.75" customHeight="1" x14ac:dyDescent="0.3">
      <c r="A8" s="12" t="s">
        <v>14</v>
      </c>
      <c r="B8" s="4"/>
      <c r="C8" s="31" t="s">
        <v>112</v>
      </c>
      <c r="D8" s="3"/>
      <c r="E8" s="3"/>
      <c r="F8" s="3"/>
      <c r="G8" s="3"/>
      <c r="H8" s="3"/>
      <c r="I8" s="3"/>
      <c r="J8" s="3"/>
      <c r="K8" s="3"/>
      <c r="L8" s="3"/>
      <c r="M8" s="3"/>
      <c r="N8" s="3"/>
      <c r="O8" s="3"/>
      <c r="P8" s="3"/>
      <c r="Q8" s="3"/>
      <c r="R8" s="3"/>
      <c r="S8" s="3"/>
    </row>
    <row r="9" spans="1:19" s="2" customFormat="1" ht="15.75" customHeight="1" x14ac:dyDescent="0.3">
      <c r="A9" s="4"/>
      <c r="B9" s="12" t="s">
        <v>15</v>
      </c>
      <c r="C9" s="32"/>
      <c r="D9" s="3"/>
      <c r="E9" s="3"/>
      <c r="F9" s="3"/>
      <c r="G9" s="3"/>
      <c r="H9" s="3"/>
      <c r="I9" s="3"/>
      <c r="J9" s="3"/>
      <c r="K9" s="3"/>
      <c r="L9" s="3"/>
      <c r="M9" s="3"/>
      <c r="N9" s="3"/>
      <c r="O9" s="3"/>
      <c r="P9" s="3"/>
      <c r="Q9" s="3"/>
      <c r="R9" s="3"/>
      <c r="S9" s="3"/>
    </row>
    <row r="10" spans="1:19" s="2" customFormat="1" ht="15.75" customHeight="1" x14ac:dyDescent="0.3">
      <c r="A10" s="4"/>
      <c r="B10" s="5" t="s">
        <v>113</v>
      </c>
      <c r="C10" s="47">
        <v>48</v>
      </c>
      <c r="D10" s="3"/>
      <c r="E10" s="3"/>
      <c r="F10" s="61"/>
      <c r="G10" s="3"/>
      <c r="H10" s="3"/>
      <c r="I10" s="3"/>
      <c r="J10" s="3"/>
      <c r="K10" s="3"/>
      <c r="L10" s="3"/>
      <c r="M10" s="3"/>
      <c r="N10" s="3"/>
      <c r="O10" s="3"/>
      <c r="P10" s="3"/>
      <c r="Q10" s="3"/>
      <c r="R10" s="3"/>
      <c r="S10" s="3"/>
    </row>
    <row r="11" spans="1:19" s="2" customFormat="1" ht="15.75" customHeight="1" x14ac:dyDescent="0.3">
      <c r="A11" s="4"/>
      <c r="B11" s="5" t="s">
        <v>114</v>
      </c>
      <c r="C11" s="48">
        <v>91.77</v>
      </c>
      <c r="D11" s="3"/>
      <c r="E11" s="3"/>
      <c r="F11" s="3"/>
      <c r="G11" s="3"/>
      <c r="H11" s="3"/>
      <c r="I11" s="3"/>
      <c r="J11" s="3"/>
      <c r="K11" s="3"/>
      <c r="L11" s="3"/>
      <c r="M11" s="3"/>
      <c r="N11" s="3"/>
      <c r="O11" s="3"/>
      <c r="P11" s="3"/>
      <c r="Q11" s="3"/>
      <c r="R11" s="3"/>
      <c r="S11" s="3"/>
    </row>
    <row r="12" spans="1:19" s="2" customFormat="1" ht="15.75" customHeight="1" x14ac:dyDescent="0.3">
      <c r="A12" s="4"/>
      <c r="B12" s="5" t="s">
        <v>115</v>
      </c>
      <c r="C12" s="47">
        <v>106.6</v>
      </c>
      <c r="D12" s="3"/>
      <c r="E12" s="3"/>
      <c r="F12" s="3"/>
      <c r="G12" s="3"/>
      <c r="H12" s="3"/>
      <c r="I12" s="3"/>
      <c r="J12" s="3"/>
      <c r="K12" s="3"/>
      <c r="L12" s="3"/>
      <c r="M12" s="3"/>
      <c r="N12" s="3"/>
      <c r="O12" s="3"/>
      <c r="P12" s="3"/>
      <c r="Q12" s="3"/>
      <c r="R12" s="3"/>
      <c r="S12" s="3"/>
    </row>
    <row r="13" spans="1:19" s="2" customFormat="1" ht="15.75" customHeight="1" x14ac:dyDescent="0.3">
      <c r="A13" s="4"/>
      <c r="B13" s="5" t="s">
        <v>116</v>
      </c>
      <c r="C13" s="47">
        <v>20.67</v>
      </c>
      <c r="D13" s="3"/>
      <c r="E13" s="60"/>
      <c r="F13" s="3"/>
      <c r="G13" s="3"/>
      <c r="H13" s="3"/>
      <c r="I13" s="3"/>
      <c r="J13" s="3"/>
      <c r="K13" s="3"/>
      <c r="L13" s="3"/>
      <c r="M13" s="3"/>
      <c r="N13" s="3"/>
      <c r="O13" s="3"/>
      <c r="P13" s="3"/>
      <c r="Q13" s="3"/>
      <c r="R13" s="3"/>
      <c r="S13" s="3"/>
    </row>
    <row r="14" spans="1:19" s="2" customFormat="1" ht="15.75" customHeight="1" x14ac:dyDescent="0.3">
      <c r="A14" s="4"/>
      <c r="B14" s="5" t="s">
        <v>117</v>
      </c>
      <c r="C14" s="47">
        <v>40.909999999999997</v>
      </c>
      <c r="D14" s="3"/>
      <c r="E14" s="3"/>
      <c r="F14" s="3"/>
      <c r="G14" s="3"/>
      <c r="H14" s="3"/>
      <c r="I14" s="3"/>
      <c r="J14" s="3"/>
      <c r="K14" s="3"/>
      <c r="L14" s="3"/>
      <c r="M14" s="3"/>
      <c r="N14" s="3"/>
      <c r="O14" s="3"/>
      <c r="P14" s="3"/>
      <c r="Q14" s="3"/>
      <c r="R14" s="3"/>
      <c r="S14" s="3"/>
    </row>
    <row r="15" spans="1:19" s="2" customFormat="1" ht="15.75" customHeight="1" x14ac:dyDescent="0.3">
      <c r="A15" s="4"/>
      <c r="B15" s="5" t="s">
        <v>118</v>
      </c>
      <c r="C15" s="47">
        <v>5.0999999999999996</v>
      </c>
      <c r="D15" s="3"/>
      <c r="E15" s="3"/>
      <c r="F15" s="3"/>
      <c r="G15" s="3"/>
      <c r="H15" s="3"/>
      <c r="I15" s="3"/>
      <c r="J15" s="3"/>
      <c r="K15" s="3"/>
      <c r="L15" s="3"/>
      <c r="M15" s="3"/>
      <c r="N15" s="3"/>
      <c r="O15" s="3"/>
      <c r="P15" s="3"/>
      <c r="Q15" s="3"/>
      <c r="R15" s="3"/>
      <c r="S15" s="3"/>
    </row>
    <row r="16" spans="1:19" s="2" customFormat="1" ht="15.75" customHeight="1" x14ac:dyDescent="0.3">
      <c r="A16" s="4"/>
      <c r="B16" s="23" t="s">
        <v>16</v>
      </c>
      <c r="C16" s="35">
        <f>SUM(C10:C15)</f>
        <v>313.04999999999995</v>
      </c>
      <c r="D16" s="3"/>
      <c r="E16" s="3"/>
      <c r="F16" s="3"/>
      <c r="G16" s="3"/>
      <c r="H16" s="3"/>
      <c r="I16" s="3"/>
      <c r="J16" s="3"/>
      <c r="K16" s="3"/>
      <c r="L16" s="3"/>
      <c r="M16" s="3"/>
      <c r="N16" s="3"/>
      <c r="O16" s="3"/>
      <c r="P16" s="3"/>
      <c r="Q16" s="3"/>
      <c r="R16" s="3"/>
      <c r="S16" s="3"/>
    </row>
    <row r="17" spans="1:19" s="2" customFormat="1" ht="15.75" customHeight="1" x14ac:dyDescent="0.3">
      <c r="A17" s="4"/>
      <c r="B17" s="23"/>
      <c r="C17" s="36"/>
      <c r="D17" s="3"/>
      <c r="E17" s="3"/>
      <c r="F17" s="3"/>
      <c r="G17" s="3"/>
      <c r="H17" s="3"/>
      <c r="I17" s="3"/>
      <c r="J17" s="3"/>
      <c r="K17" s="3"/>
      <c r="L17" s="3"/>
      <c r="M17" s="3"/>
      <c r="N17" s="3"/>
      <c r="O17" s="3"/>
      <c r="P17" s="3"/>
      <c r="Q17" s="3"/>
      <c r="R17" s="3"/>
      <c r="S17" s="3"/>
    </row>
    <row r="18" spans="1:19" s="2" customFormat="1" ht="15.75" customHeight="1" x14ac:dyDescent="0.3">
      <c r="A18" s="4"/>
      <c r="B18" s="12" t="s">
        <v>17</v>
      </c>
      <c r="C18" s="32" t="s">
        <v>18</v>
      </c>
      <c r="D18" s="3"/>
      <c r="E18" s="3"/>
      <c r="F18" s="3"/>
      <c r="G18" s="3"/>
      <c r="H18" s="3"/>
      <c r="I18" s="3"/>
      <c r="J18" s="3"/>
      <c r="K18" s="3"/>
      <c r="L18" s="3"/>
      <c r="M18" s="3"/>
      <c r="N18" s="3"/>
      <c r="O18" s="3"/>
      <c r="P18" s="3"/>
      <c r="Q18" s="3"/>
      <c r="R18" s="3"/>
      <c r="S18" s="3"/>
    </row>
    <row r="19" spans="1:19" s="2" customFormat="1" ht="15.75" customHeight="1" x14ac:dyDescent="0.3">
      <c r="A19" s="4"/>
      <c r="B19" s="5" t="s">
        <v>119</v>
      </c>
      <c r="C19" s="44">
        <v>1965.25</v>
      </c>
      <c r="D19" s="3"/>
      <c r="E19" s="118" t="s">
        <v>120</v>
      </c>
      <c r="F19" s="119"/>
      <c r="G19" s="119"/>
      <c r="H19" s="120"/>
      <c r="I19" s="3"/>
      <c r="J19" s="3"/>
      <c r="K19" s="3"/>
      <c r="L19" s="3"/>
      <c r="M19" s="3"/>
      <c r="N19" s="3"/>
      <c r="O19" s="3"/>
      <c r="P19" s="3"/>
      <c r="Q19" s="3"/>
      <c r="R19" s="3"/>
      <c r="S19" s="3"/>
    </row>
    <row r="20" spans="1:19" s="2" customFormat="1" ht="15.75" customHeight="1" x14ac:dyDescent="0.3">
      <c r="A20" s="4"/>
      <c r="B20" s="5" t="s">
        <v>121</v>
      </c>
      <c r="C20" s="47">
        <v>22.4</v>
      </c>
      <c r="D20" s="3"/>
      <c r="E20" s="121" t="s">
        <v>122</v>
      </c>
      <c r="F20" s="122"/>
      <c r="G20" s="123">
        <v>500</v>
      </c>
      <c r="H20" s="124" t="s">
        <v>123</v>
      </c>
      <c r="I20" s="3"/>
      <c r="J20" s="3"/>
      <c r="K20" s="3"/>
      <c r="L20" s="3"/>
      <c r="M20" s="3"/>
      <c r="N20" s="3"/>
      <c r="O20" s="3"/>
      <c r="P20" s="3"/>
      <c r="Q20" s="3"/>
      <c r="R20" s="3"/>
      <c r="S20" s="3"/>
    </row>
    <row r="21" spans="1:19" s="2" customFormat="1" ht="15.75" customHeight="1" x14ac:dyDescent="0.3">
      <c r="A21" s="4"/>
      <c r="B21" s="5" t="s">
        <v>124</v>
      </c>
      <c r="C21" s="47">
        <v>25.76</v>
      </c>
      <c r="D21" s="3"/>
      <c r="E21" s="121"/>
      <c r="F21" s="122" t="s">
        <v>125</v>
      </c>
      <c r="G21" s="47">
        <v>390</v>
      </c>
      <c r="H21" s="124" t="s">
        <v>126</v>
      </c>
      <c r="I21" s="3"/>
      <c r="J21" s="3"/>
      <c r="K21" s="3"/>
      <c r="L21" s="3"/>
      <c r="M21" s="3"/>
      <c r="N21" s="3"/>
      <c r="O21" s="3"/>
      <c r="P21" s="3"/>
      <c r="Q21" s="3"/>
      <c r="R21" s="3"/>
      <c r="S21" s="3"/>
    </row>
    <row r="22" spans="1:19" s="2" customFormat="1" ht="15.75" customHeight="1" x14ac:dyDescent="0.3">
      <c r="A22" s="4"/>
      <c r="B22" s="5" t="s">
        <v>127</v>
      </c>
      <c r="C22" s="47">
        <v>10.83</v>
      </c>
      <c r="D22" s="3"/>
      <c r="E22" s="121"/>
      <c r="F22" s="125" t="s">
        <v>128</v>
      </c>
      <c r="G22" s="126">
        <v>100</v>
      </c>
      <c r="H22" s="127" t="s">
        <v>129</v>
      </c>
      <c r="I22" s="3"/>
      <c r="J22" s="3"/>
      <c r="K22" s="3"/>
      <c r="L22" s="3"/>
      <c r="M22" s="3"/>
      <c r="N22" s="3"/>
      <c r="O22" s="3"/>
      <c r="P22" s="3"/>
      <c r="Q22" s="3"/>
      <c r="R22" s="3"/>
      <c r="S22" s="3"/>
    </row>
    <row r="23" spans="1:19" s="2" customFormat="1" ht="15.75" customHeight="1" x14ac:dyDescent="0.3">
      <c r="A23" s="4"/>
      <c r="B23" s="5" t="s">
        <v>19</v>
      </c>
      <c r="C23" s="47">
        <v>3.39</v>
      </c>
      <c r="D23" s="3"/>
      <c r="E23" s="121"/>
      <c r="F23" s="122" t="s">
        <v>130</v>
      </c>
      <c r="G23" s="37">
        <f>ROUND(G20/100*G21,2)</f>
        <v>1950</v>
      </c>
      <c r="H23" s="128" t="s">
        <v>131</v>
      </c>
      <c r="I23" s="3"/>
      <c r="J23" s="3"/>
      <c r="K23" s="3"/>
      <c r="L23" s="3"/>
      <c r="M23" s="3"/>
      <c r="N23" s="3"/>
      <c r="O23" s="3"/>
      <c r="P23" s="3"/>
      <c r="Q23" s="3"/>
      <c r="R23" s="3"/>
      <c r="S23" s="3"/>
    </row>
    <row r="24" spans="1:19" s="2" customFormat="1" ht="15.75" customHeight="1" x14ac:dyDescent="0.3">
      <c r="A24" s="4"/>
      <c r="B24" s="5" t="s">
        <v>132</v>
      </c>
      <c r="C24" s="47">
        <v>34.950000000000003</v>
      </c>
      <c r="D24" s="3"/>
      <c r="E24" s="121" t="s">
        <v>133</v>
      </c>
      <c r="F24" s="122"/>
      <c r="G24" s="47">
        <v>5</v>
      </c>
      <c r="H24" s="128" t="s">
        <v>131</v>
      </c>
      <c r="I24" s="3"/>
      <c r="J24" s="3"/>
      <c r="K24" s="3"/>
      <c r="L24" s="3"/>
      <c r="M24" s="3"/>
      <c r="N24" s="3"/>
      <c r="O24" s="3"/>
      <c r="P24" s="3"/>
      <c r="Q24" s="3"/>
      <c r="R24" s="3"/>
      <c r="S24" s="3"/>
    </row>
    <row r="25" spans="1:19" s="2" customFormat="1" ht="15.75" customHeight="1" x14ac:dyDescent="0.3">
      <c r="A25" s="4"/>
      <c r="B25" s="5" t="s">
        <v>134</v>
      </c>
      <c r="C25" s="47">
        <v>1.64</v>
      </c>
      <c r="D25" s="3"/>
      <c r="E25" s="121" t="s">
        <v>135</v>
      </c>
      <c r="F25" s="122"/>
      <c r="G25" s="47">
        <v>1.75</v>
      </c>
      <c r="H25" s="128" t="s">
        <v>131</v>
      </c>
      <c r="I25" s="3"/>
      <c r="J25" s="3"/>
      <c r="K25" s="3"/>
      <c r="L25" s="3"/>
      <c r="M25" s="3"/>
      <c r="N25" s="3"/>
      <c r="O25" s="3"/>
      <c r="P25" s="3"/>
      <c r="Q25" s="3"/>
      <c r="R25" s="3"/>
      <c r="S25" s="3"/>
    </row>
    <row r="26" spans="1:19" s="2" customFormat="1" ht="15.75" customHeight="1" x14ac:dyDescent="0.3">
      <c r="A26" s="4"/>
      <c r="B26" s="5" t="s">
        <v>20</v>
      </c>
      <c r="C26" s="47">
        <v>18.829999999999998</v>
      </c>
      <c r="D26" s="3"/>
      <c r="E26" s="121" t="s">
        <v>136</v>
      </c>
      <c r="F26" s="122"/>
      <c r="G26" s="47">
        <v>1.7</v>
      </c>
      <c r="H26" s="124" t="s">
        <v>126</v>
      </c>
      <c r="I26" s="3"/>
      <c r="J26" s="3"/>
      <c r="K26" s="3"/>
      <c r="L26" s="3"/>
      <c r="M26" s="3"/>
      <c r="N26" s="3"/>
      <c r="O26" s="3"/>
      <c r="P26" s="3"/>
      <c r="Q26" s="3"/>
      <c r="R26" s="3"/>
      <c r="S26" s="3"/>
    </row>
    <row r="27" spans="1:19" s="2" customFormat="1" ht="15.75" customHeight="1" x14ac:dyDescent="0.3">
      <c r="A27" s="4"/>
      <c r="B27" s="5" t="s">
        <v>137</v>
      </c>
      <c r="C27" s="47">
        <v>1.2</v>
      </c>
      <c r="D27" s="3"/>
      <c r="E27" s="121"/>
      <c r="F27" s="122" t="s">
        <v>125</v>
      </c>
      <c r="G27" s="129">
        <v>500</v>
      </c>
      <c r="H27" s="124" t="s">
        <v>123</v>
      </c>
      <c r="I27" s="3"/>
      <c r="J27" s="3"/>
      <c r="K27" s="3"/>
      <c r="L27" s="3"/>
      <c r="M27" s="3"/>
      <c r="N27" s="3"/>
      <c r="O27" s="3"/>
      <c r="P27" s="3"/>
      <c r="Q27" s="3"/>
      <c r="R27" s="3"/>
      <c r="S27" s="3"/>
    </row>
    <row r="28" spans="1:19" s="2" customFormat="1" ht="15.75" customHeight="1" x14ac:dyDescent="0.3">
      <c r="A28" s="4"/>
      <c r="B28" s="5" t="s">
        <v>138</v>
      </c>
      <c r="C28" s="47">
        <v>43.28</v>
      </c>
      <c r="D28" s="3"/>
      <c r="E28" s="121"/>
      <c r="F28" s="125" t="s">
        <v>128</v>
      </c>
      <c r="G28" s="126">
        <v>100</v>
      </c>
      <c r="H28" s="127" t="s">
        <v>129</v>
      </c>
      <c r="I28" s="3"/>
      <c r="J28" s="3"/>
      <c r="K28" s="3"/>
      <c r="L28" s="3"/>
      <c r="M28" s="3"/>
      <c r="N28" s="3"/>
      <c r="O28" s="3"/>
      <c r="P28" s="3"/>
      <c r="Q28" s="3"/>
      <c r="R28" s="3"/>
      <c r="S28" s="3"/>
    </row>
    <row r="29" spans="1:19" s="2" customFormat="1" ht="15.75" customHeight="1" x14ac:dyDescent="0.3">
      <c r="A29" s="4"/>
      <c r="B29" s="12" t="s">
        <v>21</v>
      </c>
      <c r="C29" s="44">
        <f>SUM(C19:C28)+C16</f>
        <v>2440.58</v>
      </c>
      <c r="D29" s="3"/>
      <c r="E29" s="130"/>
      <c r="F29" s="26" t="s">
        <v>130</v>
      </c>
      <c r="G29" s="131">
        <f>ROUND(G26*G27/G28,2)</f>
        <v>8.5</v>
      </c>
      <c r="H29" s="132" t="s">
        <v>131</v>
      </c>
      <c r="I29" s="3"/>
      <c r="J29" s="3"/>
      <c r="K29" s="3"/>
      <c r="L29" s="3"/>
      <c r="M29" s="3"/>
      <c r="N29" s="3"/>
      <c r="O29" s="3"/>
      <c r="P29" s="3"/>
      <c r="Q29" s="3"/>
      <c r="R29" s="3"/>
      <c r="S29" s="3"/>
    </row>
    <row r="30" spans="1:19" s="2" customFormat="1" ht="15.75" customHeight="1" x14ac:dyDescent="0.3">
      <c r="A30" s="4"/>
      <c r="B30" s="5" t="s">
        <v>139</v>
      </c>
      <c r="C30" s="49">
        <v>86.91</v>
      </c>
      <c r="D30" s="3"/>
      <c r="E30" s="3"/>
      <c r="F30" s="3"/>
      <c r="G30" s="3"/>
      <c r="H30" s="3"/>
      <c r="I30" s="3"/>
      <c r="J30" s="3"/>
      <c r="K30" s="3"/>
      <c r="L30" s="3"/>
      <c r="M30" s="3"/>
      <c r="N30" s="3"/>
      <c r="O30" s="3"/>
      <c r="P30" s="3"/>
      <c r="Q30" s="3"/>
      <c r="R30" s="3"/>
      <c r="S30" s="3"/>
    </row>
    <row r="31" spans="1:19" s="2" customFormat="1" ht="15.75" customHeight="1" x14ac:dyDescent="0.3">
      <c r="A31" s="4"/>
      <c r="B31" s="23" t="s">
        <v>22</v>
      </c>
      <c r="C31" s="37">
        <f>C29+C30</f>
        <v>2527.4899999999998</v>
      </c>
      <c r="D31" s="3"/>
      <c r="E31" s="114"/>
      <c r="F31" s="3"/>
      <c r="G31" s="3"/>
      <c r="H31" s="3"/>
      <c r="I31" s="3"/>
      <c r="J31" s="3"/>
      <c r="K31" s="3"/>
      <c r="L31" s="3"/>
      <c r="M31" s="3"/>
      <c r="N31" s="3"/>
      <c r="O31" s="3"/>
      <c r="P31" s="3"/>
      <c r="Q31" s="3"/>
      <c r="R31" s="3"/>
      <c r="S31" s="3"/>
    </row>
    <row r="32" spans="1:19" s="2" customFormat="1" ht="15.75" customHeight="1" x14ac:dyDescent="0.3">
      <c r="A32" s="4"/>
      <c r="B32" s="23"/>
      <c r="C32" s="36"/>
      <c r="D32" s="3"/>
      <c r="E32" s="3"/>
      <c r="F32" s="3"/>
      <c r="G32" s="3"/>
      <c r="H32" s="3"/>
      <c r="I32" s="3"/>
      <c r="J32" s="3"/>
      <c r="K32" s="3"/>
      <c r="L32" s="3"/>
      <c r="M32" s="3"/>
      <c r="N32" s="3"/>
      <c r="O32" s="3"/>
      <c r="P32" s="3"/>
      <c r="Q32" s="3"/>
      <c r="R32" s="3"/>
      <c r="S32" s="3"/>
    </row>
    <row r="33" spans="1:19" s="2" customFormat="1" ht="15.75" customHeight="1" x14ac:dyDescent="0.3">
      <c r="A33" s="23" t="s">
        <v>23</v>
      </c>
      <c r="B33" s="4"/>
      <c r="C33" s="5"/>
      <c r="D33" s="3"/>
      <c r="E33" s="3"/>
      <c r="F33" s="3"/>
      <c r="G33" s="3"/>
      <c r="H33" s="3"/>
      <c r="I33" s="3"/>
      <c r="J33" s="3"/>
      <c r="K33" s="3"/>
      <c r="L33" s="3"/>
      <c r="M33" s="3"/>
      <c r="N33" s="3"/>
      <c r="O33" s="3"/>
      <c r="P33" s="3"/>
      <c r="Q33" s="3"/>
      <c r="R33" s="3"/>
      <c r="S33" s="3"/>
    </row>
    <row r="34" spans="1:19" s="2" customFormat="1" ht="15.75" customHeight="1" x14ac:dyDescent="0.3">
      <c r="A34" s="4"/>
      <c r="B34" s="12" t="s">
        <v>24</v>
      </c>
      <c r="C34" s="5"/>
      <c r="D34" s="3"/>
      <c r="E34" s="3"/>
      <c r="F34" s="3"/>
      <c r="G34" s="3"/>
      <c r="H34" s="3"/>
      <c r="I34" s="3"/>
      <c r="J34" s="3"/>
      <c r="K34" s="3"/>
      <c r="L34" s="3"/>
      <c r="M34" s="3"/>
      <c r="N34" s="3"/>
      <c r="O34" s="3"/>
      <c r="P34" s="3"/>
      <c r="Q34" s="3"/>
      <c r="R34" s="3"/>
      <c r="S34" s="3"/>
    </row>
    <row r="35" spans="1:19" s="2" customFormat="1" ht="15.75" customHeight="1" x14ac:dyDescent="0.3">
      <c r="A35" s="4"/>
      <c r="B35" s="5" t="s">
        <v>25</v>
      </c>
      <c r="C35" s="47">
        <v>7.21</v>
      </c>
      <c r="D35" s="3"/>
      <c r="E35" s="3"/>
      <c r="F35" s="3"/>
      <c r="G35" s="3"/>
      <c r="H35" s="3"/>
      <c r="I35" s="3"/>
      <c r="J35" s="3"/>
      <c r="K35" s="3"/>
      <c r="L35" s="3"/>
      <c r="M35" s="3"/>
      <c r="N35" s="3"/>
      <c r="O35" s="3"/>
      <c r="P35" s="3"/>
      <c r="Q35" s="3"/>
      <c r="R35" s="3"/>
      <c r="S35" s="3"/>
    </row>
    <row r="36" spans="1:19" s="2" customFormat="1" ht="15.75" customHeight="1" x14ac:dyDescent="0.3">
      <c r="A36" s="4"/>
      <c r="B36" s="5" t="s">
        <v>26</v>
      </c>
      <c r="C36" s="47">
        <v>18</v>
      </c>
      <c r="D36" s="3"/>
      <c r="E36" s="3"/>
      <c r="F36" s="3"/>
      <c r="G36" s="3"/>
      <c r="H36" s="3"/>
      <c r="I36" s="3"/>
      <c r="J36" s="3"/>
      <c r="K36" s="3"/>
      <c r="L36" s="3"/>
      <c r="M36" s="3"/>
      <c r="N36" s="3"/>
      <c r="O36" s="3"/>
      <c r="P36" s="3"/>
      <c r="Q36" s="3"/>
      <c r="R36" s="3"/>
      <c r="S36" s="3"/>
    </row>
    <row r="37" spans="1:19" s="2" customFormat="1" ht="15.75" customHeight="1" x14ac:dyDescent="0.3">
      <c r="A37" s="4"/>
      <c r="B37" s="5"/>
      <c r="C37" s="38"/>
      <c r="D37" s="3"/>
      <c r="E37" s="3"/>
      <c r="F37" s="3"/>
      <c r="G37" s="3"/>
      <c r="H37" s="3"/>
      <c r="I37" s="3"/>
      <c r="J37" s="3"/>
      <c r="K37" s="3"/>
      <c r="L37" s="3"/>
      <c r="M37" s="3"/>
      <c r="N37" s="3"/>
      <c r="O37" s="3"/>
      <c r="P37" s="3"/>
      <c r="Q37" s="3"/>
      <c r="R37" s="3"/>
      <c r="S37" s="3"/>
    </row>
    <row r="38" spans="1:19" s="2" customFormat="1" ht="15.75" customHeight="1" x14ac:dyDescent="0.3">
      <c r="A38" s="4"/>
      <c r="B38" s="12" t="s">
        <v>27</v>
      </c>
      <c r="C38" s="33" t="s">
        <v>18</v>
      </c>
      <c r="D38" s="3"/>
      <c r="E38" s="3"/>
      <c r="F38" s="3"/>
      <c r="G38" s="3"/>
      <c r="H38" s="3"/>
      <c r="I38" s="3"/>
      <c r="J38" s="3"/>
      <c r="K38" s="3"/>
      <c r="L38" s="3"/>
      <c r="M38" s="3"/>
      <c r="N38" s="3"/>
      <c r="O38" s="3"/>
      <c r="P38" s="3"/>
      <c r="Q38" s="3"/>
      <c r="R38" s="3"/>
      <c r="S38" s="3"/>
    </row>
    <row r="39" spans="1:19" s="2" customFormat="1" ht="15.75" customHeight="1" x14ac:dyDescent="0.3">
      <c r="A39" s="4"/>
      <c r="B39" s="5" t="s">
        <v>28</v>
      </c>
      <c r="C39" s="47">
        <v>3.52</v>
      </c>
      <c r="D39" s="3"/>
      <c r="E39" s="3"/>
      <c r="F39" s="3"/>
      <c r="G39" s="3"/>
      <c r="H39" s="3"/>
      <c r="I39" s="3"/>
      <c r="J39" s="3"/>
      <c r="K39" s="3"/>
      <c r="L39" s="3"/>
      <c r="M39" s="3"/>
      <c r="N39" s="3"/>
      <c r="O39" s="3"/>
      <c r="P39" s="3"/>
      <c r="Q39" s="3"/>
      <c r="R39" s="3"/>
      <c r="S39" s="3"/>
    </row>
    <row r="40" spans="1:19" s="2" customFormat="1" ht="15.75" customHeight="1" x14ac:dyDescent="0.3">
      <c r="A40" s="4"/>
      <c r="B40" s="5" t="s">
        <v>29</v>
      </c>
      <c r="C40" s="47">
        <v>5.4</v>
      </c>
      <c r="D40" s="3"/>
      <c r="E40" s="3"/>
      <c r="F40" s="3"/>
      <c r="G40" s="3"/>
      <c r="H40" s="3"/>
      <c r="I40" s="3"/>
      <c r="J40" s="3"/>
      <c r="K40" s="3"/>
      <c r="L40" s="3"/>
      <c r="M40" s="3"/>
      <c r="N40" s="3"/>
      <c r="O40" s="3"/>
      <c r="P40" s="3"/>
      <c r="Q40" s="3"/>
      <c r="R40" s="3"/>
      <c r="S40" s="3"/>
    </row>
    <row r="41" spans="1:19" s="2" customFormat="1" ht="15.75" customHeight="1" x14ac:dyDescent="0.3">
      <c r="A41" s="4"/>
      <c r="B41" s="23" t="s">
        <v>30</v>
      </c>
      <c r="C41" s="39">
        <f>SUM(C35:C40)</f>
        <v>34.130000000000003</v>
      </c>
      <c r="D41" s="3"/>
      <c r="E41" s="3"/>
      <c r="F41" s="3"/>
      <c r="G41" s="3"/>
      <c r="H41" s="3"/>
      <c r="I41" s="3"/>
      <c r="J41" s="3"/>
      <c r="K41" s="3"/>
      <c r="L41" s="3"/>
      <c r="M41" s="3"/>
      <c r="N41" s="3"/>
      <c r="O41" s="3"/>
      <c r="P41" s="3"/>
      <c r="Q41" s="3"/>
      <c r="R41" s="3"/>
      <c r="S41" s="3"/>
    </row>
    <row r="42" spans="1:19" s="2" customFormat="1" ht="15.75" customHeight="1" x14ac:dyDescent="0.3">
      <c r="A42" s="4"/>
      <c r="B42" s="23" t="s">
        <v>31</v>
      </c>
      <c r="C42" s="37">
        <f>C31+C41</f>
        <v>2561.62</v>
      </c>
      <c r="D42" s="3"/>
      <c r="E42" s="3"/>
      <c r="F42" s="3"/>
      <c r="G42" s="3"/>
      <c r="H42" s="3"/>
      <c r="I42" s="3"/>
      <c r="J42" s="3"/>
      <c r="K42" s="3"/>
      <c r="L42" s="3"/>
      <c r="M42" s="3"/>
      <c r="N42" s="3"/>
      <c r="O42" s="3"/>
      <c r="P42" s="3"/>
      <c r="Q42" s="3"/>
      <c r="R42" s="3"/>
      <c r="S42" s="3"/>
    </row>
    <row r="43" spans="1:19" s="2" customFormat="1" ht="15.75" customHeight="1" x14ac:dyDescent="0.3">
      <c r="A43" s="4"/>
      <c r="B43" s="23"/>
      <c r="C43" s="36"/>
      <c r="D43" s="3"/>
      <c r="E43" s="3"/>
      <c r="F43" s="3"/>
      <c r="G43" s="3"/>
      <c r="H43" s="3"/>
      <c r="I43" s="3"/>
      <c r="J43" s="3"/>
      <c r="K43" s="3"/>
      <c r="L43" s="3"/>
      <c r="M43" s="3"/>
      <c r="N43" s="3"/>
      <c r="O43" s="3"/>
      <c r="P43" s="3"/>
      <c r="Q43" s="3"/>
      <c r="R43" s="3"/>
      <c r="S43" s="3"/>
    </row>
    <row r="44" spans="1:19" s="2" customFormat="1" ht="15.75" customHeight="1" x14ac:dyDescent="0.3">
      <c r="A44" s="23" t="s">
        <v>32</v>
      </c>
      <c r="B44" s="4"/>
      <c r="C44" s="49">
        <v>27</v>
      </c>
      <c r="D44" s="3"/>
      <c r="E44" s="3"/>
      <c r="F44" s="3"/>
      <c r="G44" s="3"/>
      <c r="H44" s="3"/>
      <c r="I44" s="3"/>
      <c r="J44" s="3"/>
      <c r="K44" s="3"/>
      <c r="L44" s="3"/>
      <c r="M44" s="3"/>
      <c r="N44" s="3"/>
      <c r="O44" s="3"/>
      <c r="P44" s="3"/>
      <c r="Q44" s="3"/>
      <c r="R44" s="3"/>
      <c r="S44" s="3"/>
    </row>
    <row r="45" spans="1:19" s="2" customFormat="1" ht="15.75" customHeight="1" x14ac:dyDescent="0.3">
      <c r="A45" s="4"/>
      <c r="B45" s="4"/>
      <c r="C45" s="34"/>
      <c r="D45" s="3"/>
      <c r="E45" s="3"/>
      <c r="F45" s="3"/>
      <c r="G45" s="3"/>
      <c r="H45" s="3"/>
      <c r="I45" s="3"/>
      <c r="J45" s="3"/>
      <c r="K45" s="3"/>
      <c r="L45" s="3"/>
      <c r="M45" s="3"/>
      <c r="N45" s="3"/>
      <c r="O45" s="3"/>
      <c r="P45" s="3"/>
      <c r="Q45" s="3"/>
      <c r="R45" s="3"/>
      <c r="S45" s="3"/>
    </row>
    <row r="46" spans="1:19" s="2" customFormat="1" ht="15.75" customHeight="1" x14ac:dyDescent="0.3">
      <c r="A46" s="23" t="s">
        <v>33</v>
      </c>
      <c r="B46" s="4"/>
      <c r="C46" s="37">
        <f>C42+C44</f>
        <v>2588.62</v>
      </c>
      <c r="D46" s="3"/>
      <c r="E46" s="3"/>
      <c r="F46" s="3"/>
      <c r="G46" s="3"/>
      <c r="H46" s="3"/>
      <c r="I46" s="3"/>
      <c r="J46" s="3"/>
      <c r="K46" s="3"/>
      <c r="L46" s="3"/>
      <c r="M46" s="3"/>
      <c r="N46" s="3"/>
      <c r="O46" s="3"/>
      <c r="P46" s="3"/>
      <c r="Q46" s="3"/>
      <c r="R46" s="3"/>
      <c r="S46" s="3"/>
    </row>
    <row r="47" spans="1:19" s="2" customFormat="1" ht="15.75" customHeight="1" x14ac:dyDescent="0.3">
      <c r="A47" s="23"/>
      <c r="B47" s="4"/>
      <c r="C47" s="34"/>
      <c r="D47" s="3"/>
      <c r="E47" s="3"/>
      <c r="F47" s="3"/>
      <c r="G47" s="3"/>
      <c r="H47" s="3"/>
      <c r="I47" s="3"/>
      <c r="J47" s="3"/>
      <c r="K47" s="3"/>
      <c r="L47" s="3"/>
      <c r="M47" s="3"/>
      <c r="N47" s="3"/>
      <c r="O47" s="3"/>
      <c r="P47" s="3"/>
      <c r="Q47" s="3"/>
      <c r="R47" s="3"/>
      <c r="S47" s="3"/>
    </row>
    <row r="48" spans="1:19" s="2" customFormat="1" ht="15.75" customHeight="1" x14ac:dyDescent="0.3">
      <c r="A48" s="23"/>
      <c r="B48" s="12" t="s">
        <v>144</v>
      </c>
      <c r="C48" s="37"/>
      <c r="D48" s="3"/>
      <c r="E48" s="3"/>
      <c r="F48" s="3"/>
      <c r="G48" s="3"/>
      <c r="H48" s="3"/>
      <c r="I48" s="3"/>
      <c r="J48" s="3"/>
      <c r="K48" s="3"/>
      <c r="L48" s="3"/>
      <c r="M48" s="3"/>
      <c r="N48" s="3"/>
      <c r="O48" s="3"/>
      <c r="P48" s="3"/>
      <c r="Q48" s="3"/>
      <c r="R48" s="3"/>
      <c r="S48" s="3"/>
    </row>
    <row r="49" spans="1:4" x14ac:dyDescent="0.25">
      <c r="B49" s="75" t="s">
        <v>147</v>
      </c>
      <c r="C49" s="135">
        <f>C31/' LPI Calculator'!C14</f>
        <v>2.8951775486827032</v>
      </c>
    </row>
    <row r="50" spans="1:4" x14ac:dyDescent="0.25">
      <c r="B50" s="75" t="s">
        <v>145</v>
      </c>
      <c r="C50" s="135">
        <f>C42/' LPI Calculator'!C14</f>
        <v>2.9342726231386025</v>
      </c>
    </row>
    <row r="51" spans="1:4" x14ac:dyDescent="0.25">
      <c r="A51" s="5"/>
      <c r="B51" s="5" t="s">
        <v>146</v>
      </c>
      <c r="C51" s="134">
        <f>C46/' LPI Calculator'!C14</f>
        <v>2.9652004581901488</v>
      </c>
      <c r="D51" s="10"/>
    </row>
    <row r="52" spans="1:4" ht="15.6" x14ac:dyDescent="0.3">
      <c r="A52" s="5"/>
      <c r="B52" s="10"/>
      <c r="C52" s="77"/>
      <c r="D52" s="5"/>
    </row>
    <row r="53" spans="1:4" ht="15.6" x14ac:dyDescent="0.3">
      <c r="A53" s="75"/>
      <c r="C53" s="115"/>
      <c r="D53" s="10"/>
    </row>
    <row r="55" spans="1:4" ht="15.6" x14ac:dyDescent="0.25">
      <c r="A55" s="76"/>
      <c r="C55" s="116"/>
    </row>
    <row r="56" spans="1:4" ht="15.6" x14ac:dyDescent="0.25">
      <c r="B56" s="75"/>
      <c r="C56" s="117"/>
    </row>
    <row r="57" spans="1:4" ht="15.6" x14ac:dyDescent="0.25">
      <c r="B57" s="75"/>
      <c r="C57" s="117"/>
    </row>
    <row r="58" spans="1:4" ht="15.6" x14ac:dyDescent="0.25">
      <c r="B58" s="75"/>
      <c r="C58" s="117"/>
    </row>
    <row r="59" spans="1:4" ht="15.6" x14ac:dyDescent="0.25">
      <c r="B59" s="75"/>
      <c r="C59" s="117"/>
    </row>
  </sheetData>
  <sheetProtection algorithmName="SHA-512" hashValue="C+Ea3fgTkc4F/z9WABs+m1wNGlp75F201LMuyPMR4K8kwceA4QBN91YUYSGumUUzx3D8RN2/82+yi60BOHuHyw==" saltValue="b4P+FkxfDMfhPvrKgXoubA==" spinCount="100000" sheet="1" objects="1" scenarios="1"/>
  <mergeCells count="1">
    <mergeCell ref="A3:I3"/>
  </mergeCells>
  <pageMargins left="0.7" right="0.7" top="0.75" bottom="0.75" header="0.3" footer="0.3"/>
  <pageSetup scale="7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84"/>
  <sheetViews>
    <sheetView zoomScaleNormal="100" workbookViewId="0">
      <selection activeCell="B1" sqref="B1"/>
    </sheetView>
  </sheetViews>
  <sheetFormatPr defaultRowHeight="15" x14ac:dyDescent="0.25"/>
  <cols>
    <col min="1" max="1" width="2.7265625" customWidth="1"/>
    <col min="2" max="2" width="66.6328125" customWidth="1"/>
  </cols>
  <sheetData>
    <row r="1" spans="2:22" ht="15.6" x14ac:dyDescent="0.25">
      <c r="B1" s="136" t="s">
        <v>166</v>
      </c>
    </row>
    <row r="2" spans="2:22" x14ac:dyDescent="0.25">
      <c r="B2" t="str">
        <f>' LPI Calculator'!A9</f>
        <v>Insured Index ($/cwt)</v>
      </c>
      <c r="C2" s="99">
        <f>' LPI Calculator'!C9</f>
        <v>332</v>
      </c>
      <c r="D2" s="99">
        <f>' LPI Calculator'!D9</f>
        <v>330</v>
      </c>
      <c r="E2" s="99">
        <f>' LPI Calculator'!E9</f>
        <v>328</v>
      </c>
      <c r="F2" s="99">
        <f>' LPI Calculator'!F9</f>
        <v>326</v>
      </c>
      <c r="G2" s="99">
        <f>' LPI Calculator'!G9</f>
        <v>324</v>
      </c>
      <c r="H2" s="99">
        <f>' LPI Calculator'!H9</f>
        <v>322</v>
      </c>
      <c r="I2" s="99">
        <f>' LPI Calculator'!I9</f>
        <v>320</v>
      </c>
      <c r="J2" s="99">
        <f>' LPI Calculator'!J9</f>
        <v>318</v>
      </c>
      <c r="K2" s="99">
        <f>' LPI Calculator'!K9</f>
        <v>316</v>
      </c>
      <c r="L2" s="99">
        <f>' LPI Calculator'!L9</f>
        <v>314</v>
      </c>
      <c r="M2" s="99">
        <f>' LPI Calculator'!M9</f>
        <v>312</v>
      </c>
      <c r="N2" s="99">
        <f>' LPI Calculator'!N9</f>
        <v>310</v>
      </c>
      <c r="O2" s="99">
        <f>' LPI Calculator'!O9</f>
        <v>308</v>
      </c>
      <c r="P2" s="99">
        <f>' LPI Calculator'!P9</f>
        <v>306</v>
      </c>
      <c r="Q2" s="99">
        <f>' LPI Calculator'!Q9</f>
        <v>304</v>
      </c>
      <c r="R2" s="99">
        <f>' LPI Calculator'!R9</f>
        <v>302</v>
      </c>
      <c r="S2" s="99">
        <f>' LPI Calculator'!S9</f>
        <v>300</v>
      </c>
      <c r="T2" s="99">
        <f>' LPI Calculator'!T9</f>
        <v>298</v>
      </c>
      <c r="U2" s="99">
        <f>' LPI Calculator'!U9</f>
        <v>296</v>
      </c>
      <c r="V2" s="99">
        <f>' LPI Calculator'!V9</f>
        <v>294</v>
      </c>
    </row>
    <row r="3" spans="2:22" x14ac:dyDescent="0.25">
      <c r="B3" s="75" t="s">
        <v>38</v>
      </c>
      <c r="C3" s="100" t="e">
        <f>IF(OR(' LPI Calculator'!C40="-",' LPI Calculator'!C40=""), #N/A,' LPI Calculator'!C40)</f>
        <v>#N/A</v>
      </c>
      <c r="D3" s="100" t="e">
        <f>IF(OR(' LPI Calculator'!D40="-",' LPI Calculator'!D40=""), #N/A,' LPI Calculator'!D40)</f>
        <v>#N/A</v>
      </c>
      <c r="E3" s="100" t="e">
        <f>IF(OR(' LPI Calculator'!E40="-",' LPI Calculator'!E40=""), #N/A,' LPI Calculator'!E40)</f>
        <v>#N/A</v>
      </c>
      <c r="F3" s="100" t="e">
        <f>IF(OR(' LPI Calculator'!F40="-",' LPI Calculator'!F40=""), #N/A,' LPI Calculator'!F40)</f>
        <v>#N/A</v>
      </c>
      <c r="G3" s="100" t="e">
        <f>IF(OR(' LPI Calculator'!G40="-",' LPI Calculator'!G40=""), #N/A,' LPI Calculator'!G40)</f>
        <v>#N/A</v>
      </c>
      <c r="H3" s="100" t="e">
        <f>IF(OR(' LPI Calculator'!H40="-",' LPI Calculator'!H40=""), #N/A,' LPI Calculator'!H40)</f>
        <v>#N/A</v>
      </c>
      <c r="I3" s="100" t="e">
        <f>IF(OR(' LPI Calculator'!I40="-",' LPI Calculator'!I40=""), #N/A,' LPI Calculator'!I40)</f>
        <v>#N/A</v>
      </c>
      <c r="J3" s="100" t="e">
        <f>IF(OR(' LPI Calculator'!J40="-",' LPI Calculator'!J40=""), #N/A,' LPI Calculator'!J40)</f>
        <v>#N/A</v>
      </c>
      <c r="K3" s="100" t="e">
        <f>IF(OR(' LPI Calculator'!K40="-",' LPI Calculator'!K40=""), #N/A,' LPI Calculator'!K40)</f>
        <v>#N/A</v>
      </c>
      <c r="L3" s="100" t="e">
        <f>IF(OR(' LPI Calculator'!L40="-",' LPI Calculator'!L40=""), #N/A,' LPI Calculator'!L40)</f>
        <v>#N/A</v>
      </c>
      <c r="M3" s="100" t="e">
        <f>IF(OR(' LPI Calculator'!M40="-",' LPI Calculator'!M40=""), #N/A,' LPI Calculator'!M40)</f>
        <v>#N/A</v>
      </c>
      <c r="N3" s="100" t="e">
        <f>IF(OR(' LPI Calculator'!N40="-",' LPI Calculator'!N40=""), #N/A,' LPI Calculator'!N40)</f>
        <v>#N/A</v>
      </c>
      <c r="O3" s="100" t="e">
        <f>IF(OR(' LPI Calculator'!O40="-",' LPI Calculator'!O40=""), #N/A,' LPI Calculator'!O40)</f>
        <v>#N/A</v>
      </c>
      <c r="P3" s="100" t="e">
        <f>IF(OR(' LPI Calculator'!P40="-",' LPI Calculator'!P40=""), #N/A,' LPI Calculator'!P40)</f>
        <v>#N/A</v>
      </c>
      <c r="Q3" s="100" t="e">
        <f>IF(OR(' LPI Calculator'!Q40="-",' LPI Calculator'!Q40=""), #N/A,' LPI Calculator'!Q40)</f>
        <v>#N/A</v>
      </c>
      <c r="R3" s="100" t="e">
        <f>IF(OR(' LPI Calculator'!R40="-",' LPI Calculator'!R40=""), #N/A,' LPI Calculator'!R40)</f>
        <v>#N/A</v>
      </c>
      <c r="S3" s="100" t="e">
        <f>IF(OR(' LPI Calculator'!S40="-",' LPI Calculator'!S40=""), #N/A,' LPI Calculator'!S40)</f>
        <v>#N/A</v>
      </c>
      <c r="T3" s="100" t="e">
        <f>IF(OR(' LPI Calculator'!T40="-",' LPI Calculator'!T40=""), #N/A,' LPI Calculator'!T40)</f>
        <v>#N/A</v>
      </c>
      <c r="U3" s="100" t="e">
        <f>IF(OR(' LPI Calculator'!U40="-",' LPI Calculator'!U40=""), #N/A,' LPI Calculator'!U40)</f>
        <v>#N/A</v>
      </c>
      <c r="V3" s="100" t="e">
        <f>IF(OR(' LPI Calculator'!V40="-",' LPI Calculator'!V40=""), #N/A,' LPI Calculator'!V40)</f>
        <v>#N/A</v>
      </c>
    </row>
    <row r="4" spans="2:22" x14ac:dyDescent="0.25">
      <c r="B4" s="75" t="s">
        <v>77</v>
      </c>
      <c r="C4" s="100" t="e">
        <f>IF(OR(' LPI Calculator'!C42="-",' LPI Calculator'!C42=""), #N/A,' LPI Calculator'!C42-IF(' LPI Calculator'!C40="-",0,' LPI Calculator'!C40))</f>
        <v>#N/A</v>
      </c>
      <c r="D4" s="100" t="e">
        <f>IF(OR(' LPI Calculator'!D42="-",' LPI Calculator'!D42=""), #N/A,' LPI Calculator'!D42-IF(' LPI Calculator'!D40="-",0,' LPI Calculator'!D40))</f>
        <v>#N/A</v>
      </c>
      <c r="E4" s="100" t="e">
        <f>IF(OR(' LPI Calculator'!E42="-",' LPI Calculator'!E42=""), #N/A,' LPI Calculator'!E42-IF(' LPI Calculator'!E40="-",0,' LPI Calculator'!E40))</f>
        <v>#N/A</v>
      </c>
      <c r="F4" s="100" t="e">
        <f>IF(OR(' LPI Calculator'!F42="-",' LPI Calculator'!F42=""), #N/A,' LPI Calculator'!F42-IF(' LPI Calculator'!F40="-",0,' LPI Calculator'!F40))</f>
        <v>#N/A</v>
      </c>
      <c r="G4" s="100" t="e">
        <f>IF(OR(' LPI Calculator'!G42="-",' LPI Calculator'!G42=""), #N/A,' LPI Calculator'!G42-IF(' LPI Calculator'!G40="-",0,' LPI Calculator'!G40))</f>
        <v>#N/A</v>
      </c>
      <c r="H4" s="100" t="e">
        <f>IF(OR(' LPI Calculator'!H42="-",' LPI Calculator'!H42=""), #N/A,' LPI Calculator'!H42-IF(' LPI Calculator'!H40="-",0,' LPI Calculator'!H40))</f>
        <v>#N/A</v>
      </c>
      <c r="I4" s="100" t="e">
        <f>IF(OR(' LPI Calculator'!I42="-",' LPI Calculator'!I42=""), #N/A,' LPI Calculator'!I42-IF(' LPI Calculator'!I40="-",0,' LPI Calculator'!I40))</f>
        <v>#N/A</v>
      </c>
      <c r="J4" s="100" t="e">
        <f>IF(OR(' LPI Calculator'!J42="-",' LPI Calculator'!J42=""), #N/A,' LPI Calculator'!J42-IF(' LPI Calculator'!J40="-",0,' LPI Calculator'!J40))</f>
        <v>#N/A</v>
      </c>
      <c r="K4" s="100" t="e">
        <f>IF(OR(' LPI Calculator'!K42="-",' LPI Calculator'!K42=""), #N/A,' LPI Calculator'!K42-IF(' LPI Calculator'!K40="-",0,' LPI Calculator'!K40))</f>
        <v>#N/A</v>
      </c>
      <c r="L4" s="100" t="e">
        <f>IF(OR(' LPI Calculator'!L42="-",' LPI Calculator'!L42=""), #N/A,' LPI Calculator'!L42-IF(' LPI Calculator'!L40="-",0,' LPI Calculator'!L40))</f>
        <v>#N/A</v>
      </c>
      <c r="M4" s="100" t="e">
        <f>IF(OR(' LPI Calculator'!M42="-",' LPI Calculator'!M42=""), #N/A,' LPI Calculator'!M42-IF(' LPI Calculator'!M40="-",0,' LPI Calculator'!M40))</f>
        <v>#N/A</v>
      </c>
      <c r="N4" s="100" t="e">
        <f>IF(OR(' LPI Calculator'!N42="-",' LPI Calculator'!N42=""), #N/A,' LPI Calculator'!N42-IF(' LPI Calculator'!N40="-",0,' LPI Calculator'!N40))</f>
        <v>#N/A</v>
      </c>
      <c r="O4" s="100" t="e">
        <f>IF(OR(' LPI Calculator'!O42="-",' LPI Calculator'!O42=""), #N/A,' LPI Calculator'!O42-IF(' LPI Calculator'!O40="-",0,' LPI Calculator'!O40))</f>
        <v>#N/A</v>
      </c>
      <c r="P4" s="100" t="e">
        <f>IF(OR(' LPI Calculator'!P42="-",' LPI Calculator'!P42=""), #N/A,' LPI Calculator'!P42-IF(' LPI Calculator'!P40="-",0,' LPI Calculator'!P40))</f>
        <v>#N/A</v>
      </c>
      <c r="Q4" s="100" t="e">
        <f>IF(OR(' LPI Calculator'!Q42="-",' LPI Calculator'!Q42=""), #N/A,' LPI Calculator'!Q42-IF(' LPI Calculator'!Q40="-",0,' LPI Calculator'!Q40))</f>
        <v>#N/A</v>
      </c>
      <c r="R4" s="100" t="e">
        <f>IF(OR(' LPI Calculator'!R42="-",' LPI Calculator'!R42=""), #N/A,' LPI Calculator'!R42-IF(' LPI Calculator'!R40="-",0,' LPI Calculator'!R40))</f>
        <v>#N/A</v>
      </c>
      <c r="S4" s="100" t="e">
        <f>IF(OR(' LPI Calculator'!S42="-",' LPI Calculator'!S42=""), #N/A,' LPI Calculator'!S42-IF(' LPI Calculator'!S40="-",0,' LPI Calculator'!S40))</f>
        <v>#N/A</v>
      </c>
      <c r="T4" s="100" t="e">
        <f>IF(OR(' LPI Calculator'!T42="-",' LPI Calculator'!T42=""), #N/A,' LPI Calculator'!T42-IF(' LPI Calculator'!T40="-",0,' LPI Calculator'!T40))</f>
        <v>#N/A</v>
      </c>
      <c r="U4" s="100" t="e">
        <f>IF(OR(' LPI Calculator'!U42="-",' LPI Calculator'!U42=""), #N/A,' LPI Calculator'!U42-IF(' LPI Calculator'!U40="-",0,' LPI Calculator'!U40))</f>
        <v>#N/A</v>
      </c>
      <c r="V4" s="100" t="e">
        <f>IF(OR(' LPI Calculator'!V42="-",' LPI Calculator'!V42=""), #N/A,' LPI Calculator'!V42-IF(' LPI Calculator'!V40="-",0,' LPI Calculator'!V40))</f>
        <v>#N/A</v>
      </c>
    </row>
    <row r="5" spans="2:22" x14ac:dyDescent="0.25">
      <c r="B5" s="75" t="s">
        <v>76</v>
      </c>
      <c r="C5" s="100" t="e">
        <f>IF(OR(' LPI Calculator'!C43="-",' LPI Calculator'!C43=""), #N/A,' LPI Calculator'!C43-IF(' LPI Calculator'!C42="-",0,' LPI Calculator'!C42))</f>
        <v>#N/A</v>
      </c>
      <c r="D5" s="100" t="e">
        <f>IF(OR(' LPI Calculator'!D43="-",' LPI Calculator'!D43=""), #N/A,' LPI Calculator'!D43-IF(' LPI Calculator'!D42="-",0,' LPI Calculator'!D42))</f>
        <v>#N/A</v>
      </c>
      <c r="E5" s="100" t="e">
        <f>IF(OR(' LPI Calculator'!E43="-",' LPI Calculator'!E43=""), #N/A,' LPI Calculator'!E43-IF(' LPI Calculator'!E42="-",0,' LPI Calculator'!E42))</f>
        <v>#N/A</v>
      </c>
      <c r="F5" s="100" t="e">
        <f>IF(OR(' LPI Calculator'!F43="-",' LPI Calculator'!F43=""), #N/A,' LPI Calculator'!F43-IF(' LPI Calculator'!F42="-",0,' LPI Calculator'!F42))</f>
        <v>#N/A</v>
      </c>
      <c r="G5" s="100" t="e">
        <f>IF(OR(' LPI Calculator'!G43="-",' LPI Calculator'!G43=""), #N/A,' LPI Calculator'!G43-IF(' LPI Calculator'!G42="-",0,' LPI Calculator'!G42))</f>
        <v>#N/A</v>
      </c>
      <c r="H5" s="100" t="e">
        <f>IF(OR(' LPI Calculator'!H43="-",' LPI Calculator'!H43=""), #N/A,' LPI Calculator'!H43-IF(' LPI Calculator'!H42="-",0,' LPI Calculator'!H42))</f>
        <v>#N/A</v>
      </c>
      <c r="I5" s="100" t="e">
        <f>IF(OR(' LPI Calculator'!I43="-",' LPI Calculator'!I43=""), #N/A,' LPI Calculator'!I43-IF(' LPI Calculator'!I42="-",0,' LPI Calculator'!I42))</f>
        <v>#N/A</v>
      </c>
      <c r="J5" s="100" t="e">
        <f>IF(OR(' LPI Calculator'!J43="-",' LPI Calculator'!J43=""), #N/A,' LPI Calculator'!J43-IF(' LPI Calculator'!J42="-",0,' LPI Calculator'!J42))</f>
        <v>#N/A</v>
      </c>
      <c r="K5" s="100" t="e">
        <f>IF(OR(' LPI Calculator'!K43="-",' LPI Calculator'!K43=""), #N/A,' LPI Calculator'!K43-IF(' LPI Calculator'!K42="-",0,' LPI Calculator'!K42))</f>
        <v>#N/A</v>
      </c>
      <c r="L5" s="100" t="e">
        <f>IF(OR(' LPI Calculator'!L43="-",' LPI Calculator'!L43=""), #N/A,' LPI Calculator'!L43-IF(' LPI Calculator'!L42="-",0,' LPI Calculator'!L42))</f>
        <v>#N/A</v>
      </c>
      <c r="M5" s="100" t="e">
        <f>IF(OR(' LPI Calculator'!M43="-",' LPI Calculator'!M43=""), #N/A,' LPI Calculator'!M43-IF(' LPI Calculator'!M42="-",0,' LPI Calculator'!M42))</f>
        <v>#N/A</v>
      </c>
      <c r="N5" s="100" t="e">
        <f>IF(OR(' LPI Calculator'!N43="-",' LPI Calculator'!N43=""), #N/A,' LPI Calculator'!N43-IF(' LPI Calculator'!N42="-",0,' LPI Calculator'!N42))</f>
        <v>#N/A</v>
      </c>
      <c r="O5" s="100" t="e">
        <f>IF(OR(' LPI Calculator'!O43="-",' LPI Calculator'!O43=""), #N/A,' LPI Calculator'!O43-IF(' LPI Calculator'!O42="-",0,' LPI Calculator'!O42))</f>
        <v>#N/A</v>
      </c>
      <c r="P5" s="100" t="e">
        <f>IF(OR(' LPI Calculator'!P43="-",' LPI Calculator'!P43=""), #N/A,' LPI Calculator'!P43-IF(' LPI Calculator'!P42="-",0,' LPI Calculator'!P42))</f>
        <v>#N/A</v>
      </c>
      <c r="Q5" s="100" t="e">
        <f>IF(OR(' LPI Calculator'!Q43="-",' LPI Calculator'!Q43=""), #N/A,' LPI Calculator'!Q43-IF(' LPI Calculator'!Q42="-",0,' LPI Calculator'!Q42))</f>
        <v>#N/A</v>
      </c>
      <c r="R5" s="100" t="e">
        <f>IF(OR(' LPI Calculator'!R43="-",' LPI Calculator'!R43=""), #N/A,' LPI Calculator'!R43-IF(' LPI Calculator'!R42="-",0,' LPI Calculator'!R42))</f>
        <v>#N/A</v>
      </c>
      <c r="S5" s="100" t="e">
        <f>IF(OR(' LPI Calculator'!S43="-",' LPI Calculator'!S43=""), #N/A,' LPI Calculator'!S43-IF(' LPI Calculator'!S42="-",0,' LPI Calculator'!S42))</f>
        <v>#N/A</v>
      </c>
      <c r="T5" s="100" t="e">
        <f>IF(OR(' LPI Calculator'!T43="-",' LPI Calculator'!T43=""), #N/A,' LPI Calculator'!T43-IF(' LPI Calculator'!T42="-",0,' LPI Calculator'!T42))</f>
        <v>#N/A</v>
      </c>
      <c r="U5" s="100" t="e">
        <f>IF(OR(' LPI Calculator'!U43="-",' LPI Calculator'!U43=""), #N/A,' LPI Calculator'!U43-IF(' LPI Calculator'!U42="-",0,' LPI Calculator'!U42))</f>
        <v>#N/A</v>
      </c>
      <c r="V5" s="100" t="e">
        <f>IF(OR(' LPI Calculator'!V43="-",' LPI Calculator'!V43=""), #N/A,' LPI Calculator'!V43-IF(' LPI Calculator'!V42="-",0,' LPI Calculator'!V42))</f>
        <v>#N/A</v>
      </c>
    </row>
    <row r="7" spans="2:22" ht="15.6" x14ac:dyDescent="0.25">
      <c r="B7" s="136" t="s">
        <v>167</v>
      </c>
    </row>
    <row r="8" spans="2:22" x14ac:dyDescent="0.25">
      <c r="B8" t="str">
        <f>' LPI Calculator'!A9</f>
        <v>Insured Index ($/cwt)</v>
      </c>
      <c r="C8" s="74">
        <f>' LPI Calculator'!C9</f>
        <v>332</v>
      </c>
      <c r="D8" s="74">
        <f>' LPI Calculator'!D9</f>
        <v>330</v>
      </c>
      <c r="E8" s="74">
        <f>' LPI Calculator'!E9</f>
        <v>328</v>
      </c>
      <c r="F8" s="74">
        <f>' LPI Calculator'!F9</f>
        <v>326</v>
      </c>
      <c r="G8" s="74">
        <f>' LPI Calculator'!G9</f>
        <v>324</v>
      </c>
      <c r="H8" s="74">
        <f>' LPI Calculator'!H9</f>
        <v>322</v>
      </c>
      <c r="I8" s="74">
        <f>' LPI Calculator'!I9</f>
        <v>320</v>
      </c>
      <c r="J8" s="74">
        <f>' LPI Calculator'!J9</f>
        <v>318</v>
      </c>
      <c r="K8" s="74">
        <f>' LPI Calculator'!K9</f>
        <v>316</v>
      </c>
      <c r="L8" s="74">
        <f>' LPI Calculator'!L9</f>
        <v>314</v>
      </c>
      <c r="M8" s="74">
        <f>' LPI Calculator'!M9</f>
        <v>312</v>
      </c>
      <c r="N8" s="74">
        <f>' LPI Calculator'!N9</f>
        <v>310</v>
      </c>
      <c r="O8" s="74">
        <f>' LPI Calculator'!O9</f>
        <v>308</v>
      </c>
      <c r="P8" s="74">
        <f>' LPI Calculator'!P9</f>
        <v>306</v>
      </c>
      <c r="Q8" s="74">
        <f>' LPI Calculator'!Q9</f>
        <v>304</v>
      </c>
      <c r="R8" s="74">
        <f>' LPI Calculator'!R9</f>
        <v>302</v>
      </c>
      <c r="S8" s="74">
        <f>' LPI Calculator'!S9</f>
        <v>300</v>
      </c>
      <c r="T8" s="74">
        <f>' LPI Calculator'!T9</f>
        <v>298</v>
      </c>
      <c r="U8" s="74">
        <f>' LPI Calculator'!U9</f>
        <v>296</v>
      </c>
      <c r="V8" s="74">
        <f>' LPI Calculator'!V9</f>
        <v>294</v>
      </c>
    </row>
    <row r="9" spans="2:22" x14ac:dyDescent="0.25">
      <c r="B9" t="str">
        <f>' LPI Calculator'!A20</f>
        <v>Premium Cost ($/head @ 873 lbs)</v>
      </c>
      <c r="C9" s="78">
        <f>IF(' LPI Calculator'!C20="", #N/A,' LPI Calculator'!C20)</f>
        <v>75.427200000000013</v>
      </c>
      <c r="D9" s="78">
        <f>IF(' LPI Calculator'!D20="", #N/A,' LPI Calculator'!D20)</f>
        <v>72.808199999999999</v>
      </c>
      <c r="E9" s="78">
        <f>IF(' LPI Calculator'!E20="", #N/A,' LPI Calculator'!E20)</f>
        <v>70.974900000000005</v>
      </c>
      <c r="F9" s="78">
        <f>IF(' LPI Calculator'!F20="", #N/A,' LPI Calculator'!F20)</f>
        <v>67.744799999999998</v>
      </c>
      <c r="G9" s="78">
        <f>IF(' LPI Calculator'!G20="", #N/A,' LPI Calculator'!G20)</f>
        <v>65.475000000000009</v>
      </c>
      <c r="H9" s="78">
        <f>IF(' LPI Calculator'!H20="", #N/A,' LPI Calculator'!H20)</f>
        <v>63.6417</v>
      </c>
      <c r="I9" s="78">
        <f>IF(' LPI Calculator'!I20="", #N/A,' LPI Calculator'!I20)</f>
        <v>61.371900000000004</v>
      </c>
      <c r="J9" s="78">
        <f>IF(' LPI Calculator'!J20="", #N/A,' LPI Calculator'!J20)</f>
        <v>59.538600000000002</v>
      </c>
      <c r="K9" s="78">
        <f>IF(' LPI Calculator'!K20="", #N/A,' LPI Calculator'!K20)</f>
        <v>57.268799999999999</v>
      </c>
      <c r="L9" s="78">
        <f>IF(' LPI Calculator'!L20="", #N/A,' LPI Calculator'!L20)</f>
        <v>55.173600000000008</v>
      </c>
      <c r="M9" s="78">
        <f>IF(' LPI Calculator'!M20="", #N/A,' LPI Calculator'!M20)</f>
        <v>53.427600000000005</v>
      </c>
      <c r="N9" s="78">
        <f>IF(' LPI Calculator'!N20="", #N/A,' LPI Calculator'!N20)</f>
        <v>50.983200000000004</v>
      </c>
      <c r="O9" s="78">
        <f>IF(' LPI Calculator'!O20="", #N/A,' LPI Calculator'!O20)</f>
        <v>49.149900000000002</v>
      </c>
      <c r="P9" s="78">
        <f>IF(' LPI Calculator'!P20="", #N/A,' LPI Calculator'!P20)</f>
        <v>48.538800000000002</v>
      </c>
      <c r="Q9" s="78">
        <f>IF(' LPI Calculator'!Q20="", #N/A,' LPI Calculator'!Q20)</f>
        <v>46.530900000000003</v>
      </c>
      <c r="R9" s="78" t="e">
        <f>IF(' LPI Calculator'!R20="", #N/A,' LPI Calculator'!R20)</f>
        <v>#N/A</v>
      </c>
      <c r="S9" s="78" t="e">
        <f>IF(' LPI Calculator'!S20="", #N/A,' LPI Calculator'!S20)</f>
        <v>#N/A</v>
      </c>
      <c r="T9" s="78" t="e">
        <f>IF(' LPI Calculator'!T20="", #N/A,' LPI Calculator'!T20)</f>
        <v>#N/A</v>
      </c>
      <c r="U9" s="78" t="e">
        <f>IF(' LPI Calculator'!U20="", #N/A,' LPI Calculator'!U20)</f>
        <v>#N/A</v>
      </c>
      <c r="V9" s="78" t="e">
        <f>IF(' LPI Calculator'!V20="", #N/A,' LPI Calculator'!V20)</f>
        <v>#N/A</v>
      </c>
    </row>
    <row r="10" spans="2:22" x14ac:dyDescent="0.25">
      <c r="B10" t="str">
        <f>' LPI Calculator'!A23</f>
        <v>Premium Cost (% of Insured Value)</v>
      </c>
      <c r="C10" s="79">
        <f>IF(' LPI Calculator'!C23="", #N/A,' LPI Calculator'!C23)</f>
        <v>2.6024096385542171E-2</v>
      </c>
      <c r="D10" s="79">
        <f>IF(' LPI Calculator'!D23="", #N/A,' LPI Calculator'!D23)</f>
        <v>2.5272727272727273E-2</v>
      </c>
      <c r="E10" s="79">
        <f>IF(' LPI Calculator'!E23="", #N/A,' LPI Calculator'!E23)</f>
        <v>2.478658536585366E-2</v>
      </c>
      <c r="F10" s="79">
        <f>IF(' LPI Calculator'!F23="", #N/A,' LPI Calculator'!F23)</f>
        <v>2.3803680981595091E-2</v>
      </c>
      <c r="G10" s="79">
        <f>IF(' LPI Calculator'!G23="", #N/A,' LPI Calculator'!G23)</f>
        <v>2.314814814814815E-2</v>
      </c>
      <c r="H10" s="79">
        <f>IF(' LPI Calculator'!H23="", #N/A,' LPI Calculator'!H23)</f>
        <v>2.2639751552795032E-2</v>
      </c>
      <c r="I10" s="79">
        <f>IF(' LPI Calculator'!I23="", #N/A,' LPI Calculator'!I23)</f>
        <v>2.1968749999999999E-2</v>
      </c>
      <c r="J10" s="79">
        <f>IF(' LPI Calculator'!J23="", #N/A,' LPI Calculator'!J23)</f>
        <v>2.1446540880503143E-2</v>
      </c>
      <c r="K10" s="79">
        <f>IF(' LPI Calculator'!K23="", #N/A,' LPI Calculator'!K23)</f>
        <v>2.0759493670886073E-2</v>
      </c>
      <c r="L10" s="79">
        <f>IF(' LPI Calculator'!L23="", #N/A,' LPI Calculator'!L23)</f>
        <v>2.0127388535031848E-2</v>
      </c>
      <c r="M10" s="79">
        <f>IF(' LPI Calculator'!M23="", #N/A,' LPI Calculator'!M23)</f>
        <v>1.9615384615384614E-2</v>
      </c>
      <c r="N10" s="79">
        <f>IF(' LPI Calculator'!N23="", #N/A,' LPI Calculator'!N23)</f>
        <v>1.8838709677419355E-2</v>
      </c>
      <c r="O10" s="79">
        <f>IF(' LPI Calculator'!O23="", #N/A,' LPI Calculator'!O23)</f>
        <v>1.827922077922078E-2</v>
      </c>
      <c r="P10" s="79">
        <f>IF(' LPI Calculator'!P23="", #N/A,' LPI Calculator'!P23)</f>
        <v>1.8169934640522876E-2</v>
      </c>
      <c r="Q10" s="79">
        <f>IF(' LPI Calculator'!Q23="", #N/A,' LPI Calculator'!Q23)</f>
        <v>1.7532894736842105E-2</v>
      </c>
      <c r="R10" s="79" t="e">
        <f>IF(' LPI Calculator'!R23="", #N/A,' LPI Calculator'!R23)</f>
        <v>#N/A</v>
      </c>
      <c r="S10" s="79" t="e">
        <f>IF(' LPI Calculator'!S23="", #N/A,' LPI Calculator'!S23)</f>
        <v>#N/A</v>
      </c>
      <c r="T10" s="79" t="e">
        <f>IF(' LPI Calculator'!T23="", #N/A,' LPI Calculator'!T23)</f>
        <v>#N/A</v>
      </c>
      <c r="U10" s="79" t="e">
        <f>IF(' LPI Calculator'!U23="", #N/A,' LPI Calculator'!U23)</f>
        <v>#N/A</v>
      </c>
      <c r="V10" s="79" t="e">
        <f>IF(' LPI Calculator'!V23="", #N/A,' LPI Calculator'!V23)</f>
        <v>#N/A</v>
      </c>
    </row>
    <row r="11" spans="2:22" x14ac:dyDescent="0.25">
      <c r="B11" t="str">
        <f>"LPIP Payment ($/head at Est. Settlement Price = $"&amp;' LPI Calculator'!I14&amp;"/cwt)"</f>
        <v>LPIP Payment ($/head at Est. Settlement Price = $280/cwt)</v>
      </c>
      <c r="C11" s="78">
        <f>IF(' LPI Calculator'!C36="", #N/A,' LPI Calculator'!C36)</f>
        <v>453.96</v>
      </c>
      <c r="D11" s="78">
        <f>IF(' LPI Calculator'!D36="", #N/A,' LPI Calculator'!D36)</f>
        <v>436.5</v>
      </c>
      <c r="E11" s="78">
        <f>IF(' LPI Calculator'!E36="", #N/A,' LPI Calculator'!E36)</f>
        <v>419.04</v>
      </c>
      <c r="F11" s="78">
        <f>IF(' LPI Calculator'!F36="", #N/A,' LPI Calculator'!F36)</f>
        <v>401.58</v>
      </c>
      <c r="G11" s="78">
        <f>IF(' LPI Calculator'!G36="", #N/A,' LPI Calculator'!G36)</f>
        <v>384.12</v>
      </c>
      <c r="H11" s="78">
        <f>IF(' LPI Calculator'!H36="", #N/A,' LPI Calculator'!H36)</f>
        <v>366.66</v>
      </c>
      <c r="I11" s="78">
        <f>IF(' LPI Calculator'!I36="", #N/A,' LPI Calculator'!I36)</f>
        <v>349.2</v>
      </c>
      <c r="J11" s="78">
        <f>IF(' LPI Calculator'!J36="", #N/A,' LPI Calculator'!J36)</f>
        <v>331.74</v>
      </c>
      <c r="K11" s="78">
        <f>IF(' LPI Calculator'!K36="", #N/A,' LPI Calculator'!K36)</f>
        <v>314.27999999999997</v>
      </c>
      <c r="L11" s="78">
        <f>IF(' LPI Calculator'!L36="", #N/A,' LPI Calculator'!L36)</f>
        <v>296.82</v>
      </c>
      <c r="M11" s="78">
        <f>IF(' LPI Calculator'!M36="", #N/A,' LPI Calculator'!M36)</f>
        <v>279.36</v>
      </c>
      <c r="N11" s="78">
        <f>IF(' LPI Calculator'!N36="", #N/A,' LPI Calculator'!N36)</f>
        <v>261.89999999999998</v>
      </c>
      <c r="O11" s="78">
        <f>IF(' LPI Calculator'!O36="", #N/A,' LPI Calculator'!O36)</f>
        <v>244.44</v>
      </c>
      <c r="P11" s="78">
        <f>IF(' LPI Calculator'!P36="", #N/A,' LPI Calculator'!P36)</f>
        <v>226.98</v>
      </c>
      <c r="Q11" s="78">
        <f>IF(' LPI Calculator'!Q36="", #N/A,' LPI Calculator'!Q36)</f>
        <v>209.52</v>
      </c>
      <c r="R11" s="78" t="e">
        <f>IF(' LPI Calculator'!R36="", #N/A,' LPI Calculator'!R36)</f>
        <v>#N/A</v>
      </c>
      <c r="S11" s="78" t="e">
        <f>IF(' LPI Calculator'!S36="", #N/A,' LPI Calculator'!S36)</f>
        <v>#N/A</v>
      </c>
      <c r="T11" s="78" t="e">
        <f>IF(' LPI Calculator'!T36="", #N/A,' LPI Calculator'!T36)</f>
        <v>#N/A</v>
      </c>
      <c r="U11" s="78" t="e">
        <f>IF(' LPI Calculator'!U36="", #N/A,' LPI Calculator'!U36)</f>
        <v>#N/A</v>
      </c>
      <c r="V11" s="78" t="e">
        <f>IF(' LPI Calculator'!V36="", #N/A,' LPI Calculator'!V36)</f>
        <v>#N/A</v>
      </c>
    </row>
    <row r="12" spans="2:22" x14ac:dyDescent="0.25">
      <c r="B12" s="75" t="s">
        <v>171</v>
      </c>
      <c r="C12" s="78" t="e">
        <f>IF(OR(' LPI Calculator'!C43="-",' LPI Calculator'!C43=""), #N/A,' LPI Calculator'!C43)</f>
        <v>#N/A</v>
      </c>
      <c r="D12" s="78" t="e">
        <f>IF(OR(' LPI Calculator'!D43="-",' LPI Calculator'!D43=""), #N/A,' LPI Calculator'!D43)</f>
        <v>#N/A</v>
      </c>
      <c r="E12" s="78" t="e">
        <f>IF(OR(' LPI Calculator'!E43="-",' LPI Calculator'!E43=""), #N/A,' LPI Calculator'!E43)</f>
        <v>#N/A</v>
      </c>
      <c r="F12" s="78" t="e">
        <f>IF(OR(' LPI Calculator'!F43="-",' LPI Calculator'!F43=""), #N/A,' LPI Calculator'!F43)</f>
        <v>#N/A</v>
      </c>
      <c r="G12" s="78" t="e">
        <f>IF(OR(' LPI Calculator'!G43="-",' LPI Calculator'!G43=""), #N/A,' LPI Calculator'!G43)</f>
        <v>#N/A</v>
      </c>
      <c r="H12" s="78" t="e">
        <f>IF(OR(' LPI Calculator'!H43="-",' LPI Calculator'!H43=""), #N/A,' LPI Calculator'!H43)</f>
        <v>#N/A</v>
      </c>
      <c r="I12" s="78" t="e">
        <f>IF(OR(' LPI Calculator'!I43="-",' LPI Calculator'!I43=""), #N/A,' LPI Calculator'!I43)</f>
        <v>#N/A</v>
      </c>
      <c r="J12" s="78" t="e">
        <f>IF(OR(' LPI Calculator'!J43="-",' LPI Calculator'!J43=""), #N/A,' LPI Calculator'!J43)</f>
        <v>#N/A</v>
      </c>
      <c r="K12" s="78" t="e">
        <f>IF(OR(' LPI Calculator'!K43="-",' LPI Calculator'!K43=""), #N/A,' LPI Calculator'!K43)</f>
        <v>#N/A</v>
      </c>
      <c r="L12" s="78" t="e">
        <f>IF(OR(' LPI Calculator'!L43="-",' LPI Calculator'!L43=""), #N/A,' LPI Calculator'!L43)</f>
        <v>#N/A</v>
      </c>
      <c r="M12" s="78" t="e">
        <f>IF(OR(' LPI Calculator'!M43="-",' LPI Calculator'!M43=""), #N/A,' LPI Calculator'!M43)</f>
        <v>#N/A</v>
      </c>
      <c r="N12" s="78" t="e">
        <f>IF(OR(' LPI Calculator'!N43="-",' LPI Calculator'!N43=""), #N/A,' LPI Calculator'!N43)</f>
        <v>#N/A</v>
      </c>
      <c r="O12" s="78" t="e">
        <f>IF(OR(' LPI Calculator'!O43="-",' LPI Calculator'!O43=""), #N/A,' LPI Calculator'!O43)</f>
        <v>#N/A</v>
      </c>
      <c r="P12" s="78" t="e">
        <f>IF(OR(' LPI Calculator'!P43="-",' LPI Calculator'!P43=""), #N/A,' LPI Calculator'!P43)</f>
        <v>#N/A</v>
      </c>
      <c r="Q12" s="78" t="e">
        <f>IF(OR(' LPI Calculator'!Q43="-",' LPI Calculator'!Q43=""), #N/A,' LPI Calculator'!Q43)</f>
        <v>#N/A</v>
      </c>
      <c r="R12" s="78" t="e">
        <f>IF(OR(' LPI Calculator'!R43="-",' LPI Calculator'!R43=""), #N/A,' LPI Calculator'!R43)</f>
        <v>#N/A</v>
      </c>
      <c r="S12" s="78" t="e">
        <f>IF(OR(' LPI Calculator'!S43="-",' LPI Calculator'!S43=""), #N/A,' LPI Calculator'!S43)</f>
        <v>#N/A</v>
      </c>
      <c r="T12" s="78" t="e">
        <f>IF(OR(' LPI Calculator'!T43="-",' LPI Calculator'!T43=""), #N/A,' LPI Calculator'!T43)</f>
        <v>#N/A</v>
      </c>
      <c r="U12" s="78" t="e">
        <f>IF(OR(' LPI Calculator'!U43="-",' LPI Calculator'!U43=""), #N/A,' LPI Calculator'!U43)</f>
        <v>#N/A</v>
      </c>
      <c r="V12" s="78" t="e">
        <f>IF(OR(' LPI Calculator'!V43="-",' LPI Calculator'!V43=""), #N/A,' LPI Calculator'!V43)</f>
        <v>#N/A</v>
      </c>
    </row>
    <row r="13" spans="2:22" x14ac:dyDescent="0.25">
      <c r="B13" t="str">
        <f>"Net Profit (based on Est. Settlement Price @ $"&amp;' LPI Calculator'!I14&amp;"/cwt + LPIP Payment per head)"</f>
        <v>Net Profit (based on Est. Settlement Price @ $280/cwt + LPIP Payment per head)</v>
      </c>
      <c r="C13" s="78">
        <f>IF(' LPI Calculator'!C51="", #N/A,' LPI Calculator'!C51)</f>
        <v>234.3127999999997</v>
      </c>
      <c r="D13" s="78">
        <f>IF(' LPI Calculator'!D51="", #N/A,' LPI Calculator'!D51)</f>
        <v>219.4717999999998</v>
      </c>
      <c r="E13" s="78">
        <f>IF(' LPI Calculator'!E51="", #N/A,' LPI Calculator'!E51)</f>
        <v>203.84509999999955</v>
      </c>
      <c r="F13" s="78">
        <f>IF(' LPI Calculator'!F51="", #N/A,' LPI Calculator'!F51)</f>
        <v>189.61519999999973</v>
      </c>
      <c r="G13" s="78">
        <f>IF(' LPI Calculator'!G51="", #N/A,' LPI Calculator'!G51)</f>
        <v>174.42499999999973</v>
      </c>
      <c r="H13" s="78">
        <f>IF(' LPI Calculator'!H51="", #N/A,' LPI Calculator'!H51)</f>
        <v>158.79829999999947</v>
      </c>
      <c r="I13" s="78">
        <f>IF(' LPI Calculator'!I51="", #N/A,' LPI Calculator'!I51)</f>
        <v>143.60809999999947</v>
      </c>
      <c r="J13" s="78">
        <f>IF(' LPI Calculator'!J51="", #N/A,' LPI Calculator'!J51)</f>
        <v>127.98139999999967</v>
      </c>
      <c r="K13" s="78">
        <f>IF(' LPI Calculator'!K51="", #N/A,' LPI Calculator'!K51)</f>
        <v>112.79119999999966</v>
      </c>
      <c r="L13" s="78">
        <f>IF(' LPI Calculator'!L51="", #N/A,' LPI Calculator'!L51)</f>
        <v>97.42639999999983</v>
      </c>
      <c r="M13" s="78">
        <f>IF(' LPI Calculator'!M51="", #N/A,' LPI Calculator'!M51)</f>
        <v>81.712399999999889</v>
      </c>
      <c r="N13" s="78">
        <f>IF(' LPI Calculator'!N51="", #N/A,' LPI Calculator'!N51)</f>
        <v>66.696799999999712</v>
      </c>
      <c r="O13" s="78">
        <f>IF(' LPI Calculator'!O51="", #N/A,' LPI Calculator'!O51)</f>
        <v>51.070099999999911</v>
      </c>
      <c r="P13" s="78">
        <f>IF(' LPI Calculator'!P51="", #N/A,' LPI Calculator'!P51)</f>
        <v>34.221199999999953</v>
      </c>
      <c r="Q13" s="78">
        <f>IF(' LPI Calculator'!Q51="", #N/A,' LPI Calculator'!Q51)</f>
        <v>18.769099999999526</v>
      </c>
      <c r="R13" s="78" t="e">
        <f>IF(' LPI Calculator'!R51="", #N/A,' LPI Calculator'!R51)</f>
        <v>#N/A</v>
      </c>
      <c r="S13" s="78" t="e">
        <f>IF(' LPI Calculator'!S51="", #N/A,' LPI Calculator'!S51)</f>
        <v>#N/A</v>
      </c>
      <c r="T13" s="78" t="e">
        <f>IF(' LPI Calculator'!T51="", #N/A,' LPI Calculator'!T51)</f>
        <v>#N/A</v>
      </c>
      <c r="U13" s="78" t="e">
        <f>IF(' LPI Calculator'!U51="", #N/A,' LPI Calculator'!U51)</f>
        <v>#N/A</v>
      </c>
      <c r="V13" s="78" t="e">
        <f>IF(' LPI Calculator'!V51="", #N/A,' LPI Calculator'!V51)</f>
        <v>#N/A</v>
      </c>
    </row>
    <row r="14" spans="2:22" x14ac:dyDescent="0.25">
      <c r="B14" t="str">
        <f>"Marginal Return Over Operating &amp; Fixed Costs (based on Est. Settlement Price @ $"&amp;' LPI Calculator'!I14&amp;"/cwt + LPIP Payment per head)"</f>
        <v>Marginal Return Over Operating &amp; Fixed Costs (based on Est. Settlement Price @ $280/cwt + LPIP Payment per head)</v>
      </c>
      <c r="C14" s="78">
        <f>IF(' LPI Calculator'!C50="", #N/A,' LPI Calculator'!C50)</f>
        <v>261.3127999999997</v>
      </c>
      <c r="D14" s="78">
        <f>IF(' LPI Calculator'!D50="", #N/A,' LPI Calculator'!D50)</f>
        <v>246.4717999999998</v>
      </c>
      <c r="E14" s="78">
        <f>IF(' LPI Calculator'!E50="", #N/A,' LPI Calculator'!E50)</f>
        <v>230.84509999999955</v>
      </c>
      <c r="F14" s="78">
        <f>IF(' LPI Calculator'!F50="", #N/A,' LPI Calculator'!F50)</f>
        <v>216.61519999999973</v>
      </c>
      <c r="G14" s="78">
        <f>IF(' LPI Calculator'!G50="", #N/A,' LPI Calculator'!G50)</f>
        <v>201.42499999999973</v>
      </c>
      <c r="H14" s="78">
        <f>IF(' LPI Calculator'!H50="", #N/A,' LPI Calculator'!H50)</f>
        <v>185.79829999999947</v>
      </c>
      <c r="I14" s="78">
        <f>IF(' LPI Calculator'!I50="", #N/A,' LPI Calculator'!I50)</f>
        <v>170.60809999999947</v>
      </c>
      <c r="J14" s="78">
        <f>IF(' LPI Calculator'!J50="", #N/A,' LPI Calculator'!J50)</f>
        <v>154.98139999999967</v>
      </c>
      <c r="K14" s="78">
        <f>IF(' LPI Calculator'!K50="", #N/A,' LPI Calculator'!K50)</f>
        <v>139.79119999999966</v>
      </c>
      <c r="L14" s="78">
        <f>IF(' LPI Calculator'!L50="", #N/A,' LPI Calculator'!L50)</f>
        <v>124.42639999999983</v>
      </c>
      <c r="M14" s="78">
        <f>IF(' LPI Calculator'!M50="", #N/A,' LPI Calculator'!M50)</f>
        <v>108.71239999999989</v>
      </c>
      <c r="N14" s="78">
        <f>IF(' LPI Calculator'!N50="", #N/A,' LPI Calculator'!N50)</f>
        <v>93.696799999999712</v>
      </c>
      <c r="O14" s="78">
        <f>IF(' LPI Calculator'!O50="", #N/A,' LPI Calculator'!O50)</f>
        <v>78.070099999999911</v>
      </c>
      <c r="P14" s="78">
        <f>IF(' LPI Calculator'!P50="", #N/A,' LPI Calculator'!P50)</f>
        <v>61.221199999999953</v>
      </c>
      <c r="Q14" s="78">
        <f>IF(' LPI Calculator'!Q50="", #N/A,' LPI Calculator'!Q50)</f>
        <v>45.769099999999526</v>
      </c>
      <c r="R14" s="78" t="e">
        <f>IF(' LPI Calculator'!R50="", #N/A,' LPI Calculator'!R50)</f>
        <v>#N/A</v>
      </c>
      <c r="S14" s="78" t="e">
        <f>IF(' LPI Calculator'!S50="", #N/A,' LPI Calculator'!S50)</f>
        <v>#N/A</v>
      </c>
      <c r="T14" s="78" t="e">
        <f>IF(' LPI Calculator'!T50="", #N/A,' LPI Calculator'!T50)</f>
        <v>#N/A</v>
      </c>
      <c r="U14" s="78" t="e">
        <f>IF(' LPI Calculator'!U50="", #N/A,' LPI Calculator'!U50)</f>
        <v>#N/A</v>
      </c>
      <c r="V14" s="78" t="e">
        <f>IF(' LPI Calculator'!V50="", #N/A,' LPI Calculator'!V50)</f>
        <v>#N/A</v>
      </c>
    </row>
    <row r="15" spans="2:22" x14ac:dyDescent="0.25">
      <c r="B15" s="75" t="s">
        <v>172</v>
      </c>
      <c r="C15" s="78" t="e">
        <f>IF(OR(' LPI Calculator'!C42="-",' LPI Calculator'!C42=""), #N/A,' LPI Calculator'!C42)</f>
        <v>#N/A</v>
      </c>
      <c r="D15" s="78" t="e">
        <f>IF(OR(' LPI Calculator'!D42="-",' LPI Calculator'!D42=""), #N/A,' LPI Calculator'!D42)</f>
        <v>#N/A</v>
      </c>
      <c r="E15" s="78" t="e">
        <f>IF(OR(' LPI Calculator'!E42="-",' LPI Calculator'!E42=""), #N/A,' LPI Calculator'!E42)</f>
        <v>#N/A</v>
      </c>
      <c r="F15" s="78" t="e">
        <f>IF(OR(' LPI Calculator'!F42="-",' LPI Calculator'!F42=""), #N/A,' LPI Calculator'!F42)</f>
        <v>#N/A</v>
      </c>
      <c r="G15" s="78" t="e">
        <f>IF(OR(' LPI Calculator'!G42="-",' LPI Calculator'!G42=""), #N/A,' LPI Calculator'!G42)</f>
        <v>#N/A</v>
      </c>
      <c r="H15" s="78" t="e">
        <f>IF(OR(' LPI Calculator'!H42="-",' LPI Calculator'!H42=""), #N/A,' LPI Calculator'!H42)</f>
        <v>#N/A</v>
      </c>
      <c r="I15" s="78" t="e">
        <f>IF(OR(' LPI Calculator'!I42="-",' LPI Calculator'!I42=""), #N/A,' LPI Calculator'!I42)</f>
        <v>#N/A</v>
      </c>
      <c r="J15" s="78" t="e">
        <f>IF(OR(' LPI Calculator'!J42="-",' LPI Calculator'!J42=""), #N/A,' LPI Calculator'!J42)</f>
        <v>#N/A</v>
      </c>
      <c r="K15" s="78" t="e">
        <f>IF(OR(' LPI Calculator'!K42="-",' LPI Calculator'!K42=""), #N/A,' LPI Calculator'!K42)</f>
        <v>#N/A</v>
      </c>
      <c r="L15" s="78" t="e">
        <f>IF(OR(' LPI Calculator'!L42="-",' LPI Calculator'!L42=""), #N/A,' LPI Calculator'!L42)</f>
        <v>#N/A</v>
      </c>
      <c r="M15" s="78" t="e">
        <f>IF(OR(' LPI Calculator'!M42="-",' LPI Calculator'!M42=""), #N/A,' LPI Calculator'!M42)</f>
        <v>#N/A</v>
      </c>
      <c r="N15" s="78" t="e">
        <f>IF(OR(' LPI Calculator'!N42="-",' LPI Calculator'!N42=""), #N/A,' LPI Calculator'!N42)</f>
        <v>#N/A</v>
      </c>
      <c r="O15" s="78" t="e">
        <f>IF(OR(' LPI Calculator'!O42="-",' LPI Calculator'!O42=""), #N/A,' LPI Calculator'!O42)</f>
        <v>#N/A</v>
      </c>
      <c r="P15" s="78" t="e">
        <f>IF(OR(' LPI Calculator'!P42="-",' LPI Calculator'!P42=""), #N/A,' LPI Calculator'!P42)</f>
        <v>#N/A</v>
      </c>
      <c r="Q15" s="78" t="e">
        <f>IF(OR(' LPI Calculator'!Q42="-",' LPI Calculator'!Q42=""), #N/A,' LPI Calculator'!Q42)</f>
        <v>#N/A</v>
      </c>
      <c r="R15" s="78" t="e">
        <f>IF(OR(' LPI Calculator'!R42="-",' LPI Calculator'!R42=""), #N/A,' LPI Calculator'!R42)</f>
        <v>#N/A</v>
      </c>
      <c r="S15" s="78" t="e">
        <f>IF(OR(' LPI Calculator'!S42="-",' LPI Calculator'!S42=""), #N/A,' LPI Calculator'!S42)</f>
        <v>#N/A</v>
      </c>
      <c r="T15" s="78" t="e">
        <f>IF(OR(' LPI Calculator'!T42="-",' LPI Calculator'!T42=""), #N/A,' LPI Calculator'!T42)</f>
        <v>#N/A</v>
      </c>
      <c r="U15" s="78" t="e">
        <f>IF(OR(' LPI Calculator'!U42="-",' LPI Calculator'!U42=""), #N/A,' LPI Calculator'!U42)</f>
        <v>#N/A</v>
      </c>
      <c r="V15" s="78" t="e">
        <f>IF(OR(' LPI Calculator'!V42="-",' LPI Calculator'!V42=""), #N/A,' LPI Calculator'!V42)</f>
        <v>#N/A</v>
      </c>
    </row>
    <row r="41" spans="2:22" ht="15.6" thickBot="1" x14ac:dyDescent="0.3"/>
    <row r="42" spans="2:22" ht="16.2" thickBot="1" x14ac:dyDescent="0.35">
      <c r="B42" s="23" t="s">
        <v>168</v>
      </c>
      <c r="C42" s="96" t="s">
        <v>79</v>
      </c>
      <c r="D42" s="97"/>
      <c r="E42" s="98">
        <f>' LPI Calculator'!S55</f>
        <v>320</v>
      </c>
    </row>
    <row r="43" spans="2:22" x14ac:dyDescent="0.25">
      <c r="B43" t="str">
        <f>' LPI Calculator'!A9</f>
        <v>Insured Index ($/cwt)</v>
      </c>
      <c r="C43" s="74">
        <f>' LPI Calculator'!C9</f>
        <v>332</v>
      </c>
      <c r="D43" s="74">
        <f>' LPI Calculator'!D9</f>
        <v>330</v>
      </c>
      <c r="E43" s="74">
        <f>' LPI Calculator'!E9</f>
        <v>328</v>
      </c>
      <c r="F43" s="74">
        <f>' LPI Calculator'!F9</f>
        <v>326</v>
      </c>
      <c r="G43" s="74">
        <f>' LPI Calculator'!G9</f>
        <v>324</v>
      </c>
      <c r="H43" s="74">
        <f>' LPI Calculator'!H9</f>
        <v>322</v>
      </c>
      <c r="I43" s="74">
        <f>' LPI Calculator'!I9</f>
        <v>320</v>
      </c>
      <c r="J43" s="74">
        <f>' LPI Calculator'!J9</f>
        <v>318</v>
      </c>
      <c r="K43" s="74">
        <f>' LPI Calculator'!K9</f>
        <v>316</v>
      </c>
      <c r="L43" s="74">
        <f>' LPI Calculator'!L9</f>
        <v>314</v>
      </c>
      <c r="M43" s="74">
        <f>' LPI Calculator'!M9</f>
        <v>312</v>
      </c>
      <c r="N43" s="74">
        <f>' LPI Calculator'!N9</f>
        <v>310</v>
      </c>
      <c r="O43" s="74">
        <f>' LPI Calculator'!O9</f>
        <v>308</v>
      </c>
      <c r="P43" s="74">
        <f>' LPI Calculator'!P9</f>
        <v>306</v>
      </c>
      <c r="Q43" s="74">
        <f>' LPI Calculator'!Q9</f>
        <v>304</v>
      </c>
      <c r="R43" s="74">
        <f>' LPI Calculator'!R9</f>
        <v>302</v>
      </c>
      <c r="S43" s="74">
        <f>' LPI Calculator'!S9</f>
        <v>300</v>
      </c>
      <c r="T43" s="74">
        <f>' LPI Calculator'!T9</f>
        <v>298</v>
      </c>
      <c r="U43" s="74">
        <f>' LPI Calculator'!U9</f>
        <v>296</v>
      </c>
      <c r="V43" s="74">
        <f>' LPI Calculator'!V9</f>
        <v>294</v>
      </c>
    </row>
    <row r="44" spans="2:22" x14ac:dyDescent="0.25">
      <c r="B44" s="75" t="s">
        <v>91</v>
      </c>
      <c r="C44" s="74">
        <f>IF(' LPI Calculator'!C9+C46&gt;$E$42,$E$42-C46,' LPI Calculator'!C9)</f>
        <v>296.52004581901485</v>
      </c>
      <c r="D44" s="74">
        <f>IF(' LPI Calculator'!D9+D46&gt;$E$42,$E$42-D46,' LPI Calculator'!D9)</f>
        <v>296.52004581901485</v>
      </c>
      <c r="E44" s="74">
        <f>IF(' LPI Calculator'!E9+E46&gt;$E$42,$E$42-E46,' LPI Calculator'!E9)</f>
        <v>296.52004581901485</v>
      </c>
      <c r="F44" s="74">
        <f>IF(' LPI Calculator'!F9+F46&gt;$E$42,$E$42-F46,' LPI Calculator'!F9)</f>
        <v>296.52004581901485</v>
      </c>
      <c r="G44" s="74">
        <f>IF(' LPI Calculator'!G9+G46&gt;$E$42,$E$42-G46,' LPI Calculator'!G9)</f>
        <v>296.52004581901485</v>
      </c>
      <c r="H44" s="74">
        <f>IF(' LPI Calculator'!H9+H46&gt;$E$42,$E$42-H46,' LPI Calculator'!H9)</f>
        <v>296.52004581901485</v>
      </c>
      <c r="I44" s="74">
        <f>IF(' LPI Calculator'!I9+I46&gt;$E$42,$E$42-I46,' LPI Calculator'!I9)</f>
        <v>296.52004581901485</v>
      </c>
      <c r="J44" s="74">
        <f>IF(' LPI Calculator'!J9+J46&gt;$E$42,$E$42-J46,' LPI Calculator'!J9)</f>
        <v>296.52004581901485</v>
      </c>
      <c r="K44" s="74">
        <f>IF(' LPI Calculator'!K9+K46&gt;$E$42,$E$42-K46,' LPI Calculator'!K9)</f>
        <v>296.52004581901485</v>
      </c>
      <c r="L44" s="74">
        <f>IF(' LPI Calculator'!L9+L46&gt;$E$42,$E$42-L46,' LPI Calculator'!L9)</f>
        <v>296.52004581901485</v>
      </c>
      <c r="M44" s="74">
        <f>IF(' LPI Calculator'!M9+M46&gt;$E$42,$E$42-M46,' LPI Calculator'!M9)</f>
        <v>296.52004581901485</v>
      </c>
      <c r="N44" s="74">
        <f>IF(' LPI Calculator'!N9+N46&gt;$E$42,$E$42-N46,' LPI Calculator'!N9)</f>
        <v>296.52004581901485</v>
      </c>
      <c r="O44" s="74">
        <f>IF(' LPI Calculator'!O9+O46&gt;$E$42,$E$42-O46,' LPI Calculator'!O9)</f>
        <v>296.52004581901485</v>
      </c>
      <c r="P44" s="74">
        <f>IF(' LPI Calculator'!P9+P46&gt;$E$42,$E$42-P46,' LPI Calculator'!P9)</f>
        <v>296.52004581901485</v>
      </c>
      <c r="Q44" s="74">
        <f>IF(' LPI Calculator'!Q9+Q46&gt;$E$42,$E$42-Q46,' LPI Calculator'!Q9)</f>
        <v>296.52004581901485</v>
      </c>
      <c r="R44" s="74">
        <f>IF(' LPI Calculator'!R9+R46&gt;$E$42,$E$42-R46,' LPI Calculator'!R9)</f>
        <v>296.52004581901485</v>
      </c>
      <c r="S44" s="74">
        <f>IF(' LPI Calculator'!S9+S46&gt;$E$42,$E$42-S46,' LPI Calculator'!S9)</f>
        <v>296.52004581901485</v>
      </c>
      <c r="T44" s="74">
        <f>IF(' LPI Calculator'!T9+T46&gt;$E$42,$E$42-T46,' LPI Calculator'!T9)</f>
        <v>296.52004581901485</v>
      </c>
      <c r="U44" s="74">
        <f>IF(' LPI Calculator'!U9+U46&gt;$E$42,$E$42-U46,' LPI Calculator'!U9)</f>
        <v>296</v>
      </c>
      <c r="V44" s="74">
        <f>IF(' LPI Calculator'!V9+V46&gt;$E$42,$E$42-V46,' LPI Calculator'!V9)</f>
        <v>294</v>
      </c>
    </row>
    <row r="45" spans="2:22" x14ac:dyDescent="0.25">
      <c r="B45" s="75" t="s">
        <v>78</v>
      </c>
      <c r="C45" s="74">
        <f>IF(SUM('Cost of Production'!$C$46/(' LPI Calculator'!$C$14/100))-C44&lt;0,0,SUM('Cost of Production'!$C$46/(' LPI Calculator'!$C$14/100))-C44)</f>
        <v>0</v>
      </c>
      <c r="D45" s="74">
        <f>IF(SUM('Cost of Production'!$C$46/(' LPI Calculator'!$C$14/100))-D44&lt;0,0,SUM('Cost of Production'!$C$46/(' LPI Calculator'!$C$14/100))-D44)</f>
        <v>0</v>
      </c>
      <c r="E45" s="74">
        <f>IF(SUM('Cost of Production'!$C$46/(' LPI Calculator'!$C$14/100))-E44&lt;0,0,SUM('Cost of Production'!$C$46/(' LPI Calculator'!$C$14/100))-E44)</f>
        <v>0</v>
      </c>
      <c r="F45" s="74">
        <f>IF(SUM('Cost of Production'!$C$46/(' LPI Calculator'!$C$14/100))-F44&lt;0,0,SUM('Cost of Production'!$C$46/(' LPI Calculator'!$C$14/100))-F44)</f>
        <v>0</v>
      </c>
      <c r="G45" s="74">
        <f>IF(SUM('Cost of Production'!$C$46/(' LPI Calculator'!$C$14/100))-G44&lt;0,0,SUM('Cost of Production'!$C$46/(' LPI Calculator'!$C$14/100))-G44)</f>
        <v>0</v>
      </c>
      <c r="H45" s="74">
        <f>IF(SUM('Cost of Production'!$C$46/(' LPI Calculator'!$C$14/100))-H44&lt;0,0,SUM('Cost of Production'!$C$46/(' LPI Calculator'!$C$14/100))-H44)</f>
        <v>0</v>
      </c>
      <c r="I45" s="74">
        <f>IF(SUM('Cost of Production'!$C$46/(' LPI Calculator'!$C$14/100))-I44&lt;0,0,SUM('Cost of Production'!$C$46/(' LPI Calculator'!$C$14/100))-I44)</f>
        <v>0</v>
      </c>
      <c r="J45" s="74">
        <f>IF(SUM('Cost of Production'!$C$46/(' LPI Calculator'!$C$14/100))-J44&lt;0,0,SUM('Cost of Production'!$C$46/(' LPI Calculator'!$C$14/100))-J44)</f>
        <v>0</v>
      </c>
      <c r="K45" s="74">
        <f>IF(SUM('Cost of Production'!$C$46/(' LPI Calculator'!$C$14/100))-K44&lt;0,0,SUM('Cost of Production'!$C$46/(' LPI Calculator'!$C$14/100))-K44)</f>
        <v>0</v>
      </c>
      <c r="L45" s="74">
        <f>IF(SUM('Cost of Production'!$C$46/(' LPI Calculator'!$C$14/100))-L44&lt;0,0,SUM('Cost of Production'!$C$46/(' LPI Calculator'!$C$14/100))-L44)</f>
        <v>0</v>
      </c>
      <c r="M45" s="74">
        <f>IF(SUM('Cost of Production'!$C$46/(' LPI Calculator'!$C$14/100))-M44&lt;0,0,SUM('Cost of Production'!$C$46/(' LPI Calculator'!$C$14/100))-M44)</f>
        <v>0</v>
      </c>
      <c r="N45" s="74">
        <f>IF(SUM('Cost of Production'!$C$46/(' LPI Calculator'!$C$14/100))-N44&lt;0,0,SUM('Cost of Production'!$C$46/(' LPI Calculator'!$C$14/100))-N44)</f>
        <v>0</v>
      </c>
      <c r="O45" s="74">
        <f>IF(SUM('Cost of Production'!$C$46/(' LPI Calculator'!$C$14/100))-O44&lt;0,0,SUM('Cost of Production'!$C$46/(' LPI Calculator'!$C$14/100))-O44)</f>
        <v>0</v>
      </c>
      <c r="P45" s="74">
        <f>IF(SUM('Cost of Production'!$C$46/(' LPI Calculator'!$C$14/100))-P44&lt;0,0,SUM('Cost of Production'!$C$46/(' LPI Calculator'!$C$14/100))-P44)</f>
        <v>0</v>
      </c>
      <c r="Q45" s="74">
        <f>IF(SUM('Cost of Production'!$C$46/(' LPI Calculator'!$C$14/100))-Q44&lt;0,0,SUM('Cost of Production'!$C$46/(' LPI Calculator'!$C$14/100))-Q44)</f>
        <v>0</v>
      </c>
      <c r="R45" s="74">
        <f>IF(SUM('Cost of Production'!$C$46/(' LPI Calculator'!$C$14/100))-R44&lt;0,0,SUM('Cost of Production'!$C$46/(' LPI Calculator'!$C$14/100))-R44)</f>
        <v>0</v>
      </c>
      <c r="S45" s="74">
        <f>IF(SUM('Cost of Production'!$C$46/(' LPI Calculator'!$C$14/100))-S44&lt;0,0,SUM('Cost of Production'!$C$46/(' LPI Calculator'!$C$14/100))-S44)</f>
        <v>0</v>
      </c>
      <c r="T45" s="74">
        <f>IF(SUM('Cost of Production'!$C$46/(' LPI Calculator'!$C$14/100))-T44&lt;0,0,SUM('Cost of Production'!$C$46/(' LPI Calculator'!$C$14/100))-T44)</f>
        <v>0</v>
      </c>
      <c r="U45" s="74">
        <f>IF(SUM('Cost of Production'!$C$46/(' LPI Calculator'!$C$14/100))-U44&lt;0,0,SUM('Cost of Production'!$C$46/(' LPI Calculator'!$C$14/100))-U44)</f>
        <v>0.52004581901485381</v>
      </c>
      <c r="V45" s="74">
        <f>IF(SUM('Cost of Production'!$C$46/(' LPI Calculator'!$C$14/100))-V44&lt;0,0,SUM('Cost of Production'!$C$46/(' LPI Calculator'!$C$14/100))-V44)</f>
        <v>2.5200458190148538</v>
      </c>
    </row>
    <row r="46" spans="2:22" x14ac:dyDescent="0.25">
      <c r="B46" s="75" t="str">
        <f>"$/cwt Reward @ Est. Mkt. Price $"&amp;E42&amp;"/cwt"</f>
        <v>$/cwt Reward @ Est. Mkt. Price $320/cwt</v>
      </c>
      <c r="C46" s="78">
        <f>$E$42-SUM('Cost of Production'!$C$46/(' LPI Calculator'!$C$14/100))</f>
        <v>23.479954180985146</v>
      </c>
      <c r="D46" s="78">
        <f>$E$42-SUM('Cost of Production'!$C$46/(' LPI Calculator'!$C$14/100))</f>
        <v>23.479954180985146</v>
      </c>
      <c r="E46" s="78">
        <f>$E$42-SUM('Cost of Production'!$C$46/(' LPI Calculator'!$C$14/100))</f>
        <v>23.479954180985146</v>
      </c>
      <c r="F46" s="78">
        <f>$E$42-SUM('Cost of Production'!$C$46/(' LPI Calculator'!$C$14/100))</f>
        <v>23.479954180985146</v>
      </c>
      <c r="G46" s="78">
        <f>$E$42-SUM('Cost of Production'!$C$46/(' LPI Calculator'!$C$14/100))</f>
        <v>23.479954180985146</v>
      </c>
      <c r="H46" s="78">
        <f>$E$42-SUM('Cost of Production'!$C$46/(' LPI Calculator'!$C$14/100))</f>
        <v>23.479954180985146</v>
      </c>
      <c r="I46" s="78">
        <f>$E$42-SUM('Cost of Production'!$C$46/(' LPI Calculator'!$C$14/100))</f>
        <v>23.479954180985146</v>
      </c>
      <c r="J46" s="78">
        <f>$E$42-SUM('Cost of Production'!$C$46/(' LPI Calculator'!$C$14/100))</f>
        <v>23.479954180985146</v>
      </c>
      <c r="K46" s="78">
        <f>$E$42-SUM('Cost of Production'!$C$46/(' LPI Calculator'!$C$14/100))</f>
        <v>23.479954180985146</v>
      </c>
      <c r="L46" s="78">
        <f>$E$42-SUM('Cost of Production'!$C$46/(' LPI Calculator'!$C$14/100))</f>
        <v>23.479954180985146</v>
      </c>
      <c r="M46" s="78">
        <f>$E$42-SUM('Cost of Production'!$C$46/(' LPI Calculator'!$C$14/100))</f>
        <v>23.479954180985146</v>
      </c>
      <c r="N46" s="78">
        <f>$E$42-SUM('Cost of Production'!$C$46/(' LPI Calculator'!$C$14/100))</f>
        <v>23.479954180985146</v>
      </c>
      <c r="O46" s="78">
        <f>$E$42-SUM('Cost of Production'!$C$46/(' LPI Calculator'!$C$14/100))</f>
        <v>23.479954180985146</v>
      </c>
      <c r="P46" s="78">
        <f>$E$42-SUM('Cost of Production'!$C$46/(' LPI Calculator'!$C$14/100))</f>
        <v>23.479954180985146</v>
      </c>
      <c r="Q46" s="78">
        <f>$E$42-SUM('Cost of Production'!$C$46/(' LPI Calculator'!$C$14/100))</f>
        <v>23.479954180985146</v>
      </c>
      <c r="R46" s="78">
        <f>$E$42-SUM('Cost of Production'!$C$46/(' LPI Calculator'!$C$14/100))</f>
        <v>23.479954180985146</v>
      </c>
      <c r="S46" s="78">
        <f>$E$42-SUM('Cost of Production'!$C$46/(' LPI Calculator'!$C$14/100))</f>
        <v>23.479954180985146</v>
      </c>
      <c r="T46" s="78">
        <f>$E$42-SUM('Cost of Production'!$C$46/(' LPI Calculator'!$C$14/100))</f>
        <v>23.479954180985146</v>
      </c>
      <c r="U46" s="78">
        <f>$E$42-SUM('Cost of Production'!$C$46/(' LPI Calculator'!$C$14/100))</f>
        <v>23.479954180985146</v>
      </c>
      <c r="V46" s="78">
        <f>$E$42-SUM('Cost of Production'!$C$46/(' LPI Calculator'!$C$14/100))</f>
        <v>23.479954180985146</v>
      </c>
    </row>
    <row r="49" spans="2:22" x14ac:dyDescent="0.25">
      <c r="B49" s="75" t="s">
        <v>81</v>
      </c>
    </row>
    <row r="50" spans="2:22" x14ac:dyDescent="0.25">
      <c r="B50" s="75" t="s">
        <v>80</v>
      </c>
    </row>
    <row r="52" spans="2:22" x14ac:dyDescent="0.25">
      <c r="B52" s="75" t="s">
        <v>82</v>
      </c>
    </row>
    <row r="54" spans="2:22" ht="15.6" x14ac:dyDescent="0.25">
      <c r="B54" s="76" t="s">
        <v>169</v>
      </c>
    </row>
    <row r="55" spans="2:22" x14ac:dyDescent="0.25">
      <c r="B55" t="str">
        <f>' LPI Calculator'!A9</f>
        <v>Insured Index ($/cwt)</v>
      </c>
      <c r="C55" s="74">
        <f>' LPI Calculator'!C9</f>
        <v>332</v>
      </c>
      <c r="D55" s="74">
        <f>' LPI Calculator'!D9</f>
        <v>330</v>
      </c>
      <c r="E55" s="74">
        <f>' LPI Calculator'!E9</f>
        <v>328</v>
      </c>
      <c r="F55" s="74">
        <f>' LPI Calculator'!F9</f>
        <v>326</v>
      </c>
      <c r="G55" s="74">
        <f>' LPI Calculator'!G9</f>
        <v>324</v>
      </c>
      <c r="H55" s="74">
        <f>' LPI Calculator'!H9</f>
        <v>322</v>
      </c>
      <c r="I55" s="74">
        <f>' LPI Calculator'!I9</f>
        <v>320</v>
      </c>
      <c r="J55" s="74">
        <f>' LPI Calculator'!J9</f>
        <v>318</v>
      </c>
      <c r="K55" s="74">
        <f>' LPI Calculator'!K9</f>
        <v>316</v>
      </c>
      <c r="L55" s="74">
        <f>' LPI Calculator'!L9</f>
        <v>314</v>
      </c>
      <c r="M55" s="74">
        <f>' LPI Calculator'!M9</f>
        <v>312</v>
      </c>
      <c r="N55" s="74">
        <f>' LPI Calculator'!N9</f>
        <v>310</v>
      </c>
      <c r="O55" s="74">
        <f>' LPI Calculator'!O9</f>
        <v>308</v>
      </c>
      <c r="P55" s="74">
        <f>' LPI Calculator'!P9</f>
        <v>306</v>
      </c>
      <c r="Q55" s="74">
        <f>' LPI Calculator'!Q9</f>
        <v>304</v>
      </c>
      <c r="R55" s="74">
        <f>' LPI Calculator'!R9</f>
        <v>302</v>
      </c>
      <c r="S55" s="74">
        <f>' LPI Calculator'!S9</f>
        <v>300</v>
      </c>
      <c r="T55" s="74">
        <f>' LPI Calculator'!T9</f>
        <v>298</v>
      </c>
      <c r="U55" s="74">
        <f>' LPI Calculator'!U9</f>
        <v>296</v>
      </c>
      <c r="V55" s="74">
        <f>' LPI Calculator'!V9</f>
        <v>294</v>
      </c>
    </row>
    <row r="56" spans="2:22" x14ac:dyDescent="0.25">
      <c r="B56" s="75" t="s">
        <v>84</v>
      </c>
      <c r="C56" s="79">
        <f>IF(C57="", #N/A,SUM(C57/C59))</f>
        <v>1.1196544877193255</v>
      </c>
      <c r="D56" s="79">
        <f t="shared" ref="D56:V56" si="0">IF(D57="", #N/A,SUM(D57/D59))</f>
        <v>1.1129095811667993</v>
      </c>
      <c r="E56" s="79">
        <f t="shared" si="0"/>
        <v>1.1061646746142733</v>
      </c>
      <c r="F56" s="79">
        <f t="shared" si="0"/>
        <v>1.0994197680617472</v>
      </c>
      <c r="G56" s="79">
        <f t="shared" si="0"/>
        <v>1.0926748615092212</v>
      </c>
      <c r="H56" s="79">
        <f t="shared" si="0"/>
        <v>1.0859299549566952</v>
      </c>
      <c r="I56" s="79">
        <f t="shared" si="0"/>
        <v>1.0791850484041692</v>
      </c>
      <c r="J56" s="79">
        <f t="shared" si="0"/>
        <v>1.0724401418516432</v>
      </c>
      <c r="K56" s="79">
        <f t="shared" si="0"/>
        <v>1.0656952352991171</v>
      </c>
      <c r="L56" s="79">
        <f t="shared" si="0"/>
        <v>1.0589503287465909</v>
      </c>
      <c r="M56" s="79">
        <f t="shared" si="0"/>
        <v>1.0522054221940649</v>
      </c>
      <c r="N56" s="79">
        <f t="shared" si="0"/>
        <v>1.0454605156415389</v>
      </c>
      <c r="O56" s="79">
        <f t="shared" si="0"/>
        <v>1.0387156090890128</v>
      </c>
      <c r="P56" s="79">
        <f t="shared" si="0"/>
        <v>1.0319707025364868</v>
      </c>
      <c r="Q56" s="79">
        <f t="shared" si="0"/>
        <v>1.0252257959839606</v>
      </c>
      <c r="R56" s="79" t="e">
        <f t="shared" si="0"/>
        <v>#N/A</v>
      </c>
      <c r="S56" s="79" t="e">
        <f t="shared" si="0"/>
        <v>#N/A</v>
      </c>
      <c r="T56" s="79" t="e">
        <f t="shared" si="0"/>
        <v>#N/A</v>
      </c>
      <c r="U56" s="79" t="e">
        <f t="shared" si="0"/>
        <v>#N/A</v>
      </c>
      <c r="V56" s="79" t="e">
        <f t="shared" si="0"/>
        <v>#N/A</v>
      </c>
    </row>
    <row r="57" spans="2:22" x14ac:dyDescent="0.25">
      <c r="B57" t="str">
        <f>' LPI Calculator'!A21</f>
        <v>Insured Value ($/head @ 873 lbs)</v>
      </c>
      <c r="C57" s="78">
        <f>' LPI Calculator'!C21</f>
        <v>2898.36</v>
      </c>
      <c r="D57" s="78">
        <f>' LPI Calculator'!D21</f>
        <v>2880.9</v>
      </c>
      <c r="E57" s="78">
        <f>' LPI Calculator'!E21</f>
        <v>2863.44</v>
      </c>
      <c r="F57" s="78">
        <f>' LPI Calculator'!F21</f>
        <v>2845.98</v>
      </c>
      <c r="G57" s="78">
        <f>' LPI Calculator'!G21</f>
        <v>2828.52</v>
      </c>
      <c r="H57" s="78">
        <f>' LPI Calculator'!H21</f>
        <v>2811.06</v>
      </c>
      <c r="I57" s="78">
        <f>' LPI Calculator'!I21</f>
        <v>2793.6000000000004</v>
      </c>
      <c r="J57" s="78">
        <f>' LPI Calculator'!J21</f>
        <v>2776.1400000000003</v>
      </c>
      <c r="K57" s="78">
        <f>' LPI Calculator'!K21</f>
        <v>2758.6800000000003</v>
      </c>
      <c r="L57" s="78">
        <f>' LPI Calculator'!L21</f>
        <v>2741.2200000000003</v>
      </c>
      <c r="M57" s="78">
        <f>' LPI Calculator'!M21</f>
        <v>2723.76</v>
      </c>
      <c r="N57" s="78">
        <f>' LPI Calculator'!N21</f>
        <v>2706.3</v>
      </c>
      <c r="O57" s="78">
        <f>' LPI Calculator'!O21</f>
        <v>2688.84</v>
      </c>
      <c r="P57" s="78">
        <f>' LPI Calculator'!P21</f>
        <v>2671.38</v>
      </c>
      <c r="Q57" s="78">
        <f>' LPI Calculator'!Q21</f>
        <v>2653.92</v>
      </c>
      <c r="R57" s="78" t="str">
        <f>' LPI Calculator'!R21</f>
        <v/>
      </c>
      <c r="S57" s="78" t="str">
        <f>' LPI Calculator'!S21</f>
        <v/>
      </c>
      <c r="T57" s="78" t="str">
        <f>' LPI Calculator'!T21</f>
        <v/>
      </c>
      <c r="U57" s="78" t="str">
        <f>' LPI Calculator'!U21</f>
        <v/>
      </c>
      <c r="V57" s="78" t="str">
        <f>' LPI Calculator'!V21</f>
        <v/>
      </c>
    </row>
    <row r="58" spans="2:22" x14ac:dyDescent="0.25">
      <c r="B58" t="str">
        <f>"Gross Revenue @ Est. Mkt. Price $"&amp;E42&amp;"/cwt @ "&amp;' LPI Calculator'!C14&amp;" lbs"</f>
        <v>Gross Revenue @ Est. Mkt. Price $320/cwt @ 873 lbs</v>
      </c>
      <c r="C58" s="78">
        <f>SUM($E$42*(' LPI Calculator'!$C$14/100))</f>
        <v>2793.6000000000004</v>
      </c>
      <c r="D58" s="78">
        <f>SUM($E$42*(' LPI Calculator'!$C$14/100))</f>
        <v>2793.6000000000004</v>
      </c>
      <c r="E58" s="78">
        <f>SUM($E$42*(' LPI Calculator'!$C$14/100))</f>
        <v>2793.6000000000004</v>
      </c>
      <c r="F58" s="78">
        <f>SUM($E$42*(' LPI Calculator'!$C$14/100))</f>
        <v>2793.6000000000004</v>
      </c>
      <c r="G58" s="78">
        <f>SUM($E$42*(' LPI Calculator'!$C$14/100))</f>
        <v>2793.6000000000004</v>
      </c>
      <c r="H58" s="78">
        <f>SUM($E$42*(' LPI Calculator'!$C$14/100))</f>
        <v>2793.6000000000004</v>
      </c>
      <c r="I58" s="78">
        <f>SUM($E$42*(' LPI Calculator'!$C$14/100))</f>
        <v>2793.6000000000004</v>
      </c>
      <c r="J58" s="78">
        <f>SUM($E$42*(' LPI Calculator'!$C$14/100))</f>
        <v>2793.6000000000004</v>
      </c>
      <c r="K58" s="78">
        <f>SUM($E$42*(' LPI Calculator'!$C$14/100))</f>
        <v>2793.6000000000004</v>
      </c>
      <c r="L58" s="78">
        <f>SUM($E$42*(' LPI Calculator'!$C$14/100))</f>
        <v>2793.6000000000004</v>
      </c>
      <c r="M58" s="78">
        <f>SUM($E$42*(' LPI Calculator'!$C$14/100))</f>
        <v>2793.6000000000004</v>
      </c>
      <c r="N58" s="78">
        <f>SUM($E$42*(' LPI Calculator'!$C$14/100))</f>
        <v>2793.6000000000004</v>
      </c>
      <c r="O58" s="78">
        <f>SUM($E$42*(' LPI Calculator'!$C$14/100))</f>
        <v>2793.6000000000004</v>
      </c>
      <c r="P58" s="78">
        <f>SUM($E$42*(' LPI Calculator'!$C$14/100))</f>
        <v>2793.6000000000004</v>
      </c>
      <c r="Q58" s="78">
        <f>SUM($E$42*(' LPI Calculator'!$C$14/100))</f>
        <v>2793.6000000000004</v>
      </c>
      <c r="R58" s="78">
        <f>SUM($E$42*(' LPI Calculator'!$C$14/100))</f>
        <v>2793.6000000000004</v>
      </c>
      <c r="S58" s="78">
        <f>SUM($E$42*(' LPI Calculator'!$C$14/100))</f>
        <v>2793.6000000000004</v>
      </c>
      <c r="T58" s="78">
        <f>SUM($E$42*(' LPI Calculator'!$C$14/100))</f>
        <v>2793.6000000000004</v>
      </c>
      <c r="U58" s="78">
        <f>SUM($E$42*(' LPI Calculator'!$C$14/100))</f>
        <v>2793.6000000000004</v>
      </c>
      <c r="V58" s="78">
        <f>SUM($E$42*(' LPI Calculator'!$C$14/100))</f>
        <v>2793.6000000000004</v>
      </c>
    </row>
    <row r="59" spans="2:22" x14ac:dyDescent="0.25">
      <c r="B59" s="75" t="s">
        <v>83</v>
      </c>
      <c r="C59" s="78">
        <f>'Cost of Production'!$C$46</f>
        <v>2588.62</v>
      </c>
      <c r="D59" s="78">
        <f>'Cost of Production'!$C$46</f>
        <v>2588.62</v>
      </c>
      <c r="E59" s="78">
        <f>'Cost of Production'!$C$46</f>
        <v>2588.62</v>
      </c>
      <c r="F59" s="78">
        <f>'Cost of Production'!$C$46</f>
        <v>2588.62</v>
      </c>
      <c r="G59" s="78">
        <f>'Cost of Production'!$C$46</f>
        <v>2588.62</v>
      </c>
      <c r="H59" s="78">
        <f>'Cost of Production'!$C$46</f>
        <v>2588.62</v>
      </c>
      <c r="I59" s="78">
        <f>'Cost of Production'!$C$46</f>
        <v>2588.62</v>
      </c>
      <c r="J59" s="78">
        <f>'Cost of Production'!$C$46</f>
        <v>2588.62</v>
      </c>
      <c r="K59" s="78">
        <f>'Cost of Production'!$C$46</f>
        <v>2588.62</v>
      </c>
      <c r="L59" s="78">
        <f>'Cost of Production'!$C$46</f>
        <v>2588.62</v>
      </c>
      <c r="M59" s="78">
        <f>'Cost of Production'!$C$46</f>
        <v>2588.62</v>
      </c>
      <c r="N59" s="78">
        <f>'Cost of Production'!$C$46</f>
        <v>2588.62</v>
      </c>
      <c r="O59" s="78">
        <f>'Cost of Production'!$C$46</f>
        <v>2588.62</v>
      </c>
      <c r="P59" s="78">
        <f>'Cost of Production'!$C$46</f>
        <v>2588.62</v>
      </c>
      <c r="Q59" s="78">
        <f>'Cost of Production'!$C$46</f>
        <v>2588.62</v>
      </c>
      <c r="R59" s="78">
        <f>'Cost of Production'!$C$46</f>
        <v>2588.62</v>
      </c>
      <c r="S59" s="78">
        <f>'Cost of Production'!$C$46</f>
        <v>2588.62</v>
      </c>
      <c r="T59" s="78">
        <f>'Cost of Production'!$C$46</f>
        <v>2588.62</v>
      </c>
      <c r="U59" s="78">
        <f>'Cost of Production'!$C$46</f>
        <v>2588.62</v>
      </c>
      <c r="V59" s="78">
        <f>'Cost of Production'!$C$46</f>
        <v>2588.62</v>
      </c>
    </row>
    <row r="60" spans="2:22" x14ac:dyDescent="0.25">
      <c r="B60" t="str">
        <f>"Return on Investment (Reward) @ Est. Mkt. Price $"&amp;E42&amp;"/cwt"</f>
        <v>Return on Investment (Reward) @ Est. Mkt. Price $320/cwt</v>
      </c>
      <c r="C60" s="79">
        <f>SUM(C58-C59)/C59</f>
        <v>7.9185048404169206E-2</v>
      </c>
      <c r="D60" s="79">
        <f t="shared" ref="D60:V60" si="1">SUM(D58-D59)/D59</f>
        <v>7.9185048404169206E-2</v>
      </c>
      <c r="E60" s="79">
        <f t="shared" si="1"/>
        <v>7.9185048404169206E-2</v>
      </c>
      <c r="F60" s="79">
        <f t="shared" si="1"/>
        <v>7.9185048404169206E-2</v>
      </c>
      <c r="G60" s="79">
        <f t="shared" si="1"/>
        <v>7.9185048404169206E-2</v>
      </c>
      <c r="H60" s="79">
        <f t="shared" si="1"/>
        <v>7.9185048404169206E-2</v>
      </c>
      <c r="I60" s="79">
        <f t="shared" si="1"/>
        <v>7.9185048404169206E-2</v>
      </c>
      <c r="J60" s="79">
        <f t="shared" si="1"/>
        <v>7.9185048404169206E-2</v>
      </c>
      <c r="K60" s="79">
        <f t="shared" si="1"/>
        <v>7.9185048404169206E-2</v>
      </c>
      <c r="L60" s="79">
        <f t="shared" si="1"/>
        <v>7.9185048404169206E-2</v>
      </c>
      <c r="M60" s="79">
        <f t="shared" si="1"/>
        <v>7.9185048404169206E-2</v>
      </c>
      <c r="N60" s="79">
        <f t="shared" si="1"/>
        <v>7.9185048404169206E-2</v>
      </c>
      <c r="O60" s="79">
        <f t="shared" si="1"/>
        <v>7.9185048404169206E-2</v>
      </c>
      <c r="P60" s="79">
        <f t="shared" si="1"/>
        <v>7.9185048404169206E-2</v>
      </c>
      <c r="Q60" s="79">
        <f t="shared" si="1"/>
        <v>7.9185048404169206E-2</v>
      </c>
      <c r="R60" s="79">
        <f t="shared" si="1"/>
        <v>7.9185048404169206E-2</v>
      </c>
      <c r="S60" s="79">
        <f t="shared" si="1"/>
        <v>7.9185048404169206E-2</v>
      </c>
      <c r="T60" s="79">
        <f t="shared" si="1"/>
        <v>7.9185048404169206E-2</v>
      </c>
      <c r="U60" s="79">
        <f t="shared" si="1"/>
        <v>7.9185048404169206E-2</v>
      </c>
      <c r="V60" s="79">
        <f t="shared" si="1"/>
        <v>7.9185048404169206E-2</v>
      </c>
    </row>
    <row r="81" spans="2:22" ht="15.6" x14ac:dyDescent="0.25">
      <c r="B81" s="76" t="s">
        <v>170</v>
      </c>
    </row>
    <row r="82" spans="2:22" x14ac:dyDescent="0.25">
      <c r="B82" t="str">
        <f>' LPI Calculator'!A9</f>
        <v>Insured Index ($/cwt)</v>
      </c>
      <c r="C82" s="74">
        <f>' LPI Calculator'!C9</f>
        <v>332</v>
      </c>
      <c r="D82" s="74">
        <f>' LPI Calculator'!D9</f>
        <v>330</v>
      </c>
      <c r="E82" s="74">
        <f>' LPI Calculator'!E9</f>
        <v>328</v>
      </c>
      <c r="F82" s="74">
        <f>' LPI Calculator'!F9</f>
        <v>326</v>
      </c>
      <c r="G82" s="74">
        <f>' LPI Calculator'!G9</f>
        <v>324</v>
      </c>
      <c r="H82" s="74">
        <f>' LPI Calculator'!H9</f>
        <v>322</v>
      </c>
      <c r="I82" s="74">
        <f>' LPI Calculator'!I9</f>
        <v>320</v>
      </c>
      <c r="J82" s="74">
        <f>' LPI Calculator'!J9</f>
        <v>318</v>
      </c>
      <c r="K82" s="74">
        <f>' LPI Calculator'!K9</f>
        <v>316</v>
      </c>
      <c r="L82" s="74">
        <f>' LPI Calculator'!L9</f>
        <v>314</v>
      </c>
      <c r="M82" s="74">
        <f>' LPI Calculator'!M9</f>
        <v>312</v>
      </c>
      <c r="N82" s="74">
        <f>' LPI Calculator'!N9</f>
        <v>310</v>
      </c>
      <c r="O82" s="74">
        <f>' LPI Calculator'!O9</f>
        <v>308</v>
      </c>
      <c r="P82" s="74">
        <f>' LPI Calculator'!P9</f>
        <v>306</v>
      </c>
      <c r="Q82" s="74">
        <f>' LPI Calculator'!Q9</f>
        <v>304</v>
      </c>
      <c r="R82" s="74">
        <f>' LPI Calculator'!R9</f>
        <v>302</v>
      </c>
      <c r="S82" s="74">
        <f>' LPI Calculator'!S9</f>
        <v>300</v>
      </c>
      <c r="T82" s="74">
        <f>' LPI Calculator'!T9</f>
        <v>298</v>
      </c>
      <c r="U82" s="74">
        <f>' LPI Calculator'!U9</f>
        <v>296</v>
      </c>
      <c r="V82" s="74">
        <f>' LPI Calculator'!V9</f>
        <v>294</v>
      </c>
    </row>
    <row r="83" spans="2:22" x14ac:dyDescent="0.25">
      <c r="B83" t="s">
        <v>49</v>
      </c>
      <c r="C83" s="79">
        <f>IF(' LPI Calculator'!C23="", #N/A,' LPI Calculator'!C23)</f>
        <v>2.6024096385542171E-2</v>
      </c>
      <c r="D83" s="79">
        <f>IF(' LPI Calculator'!D23="", #N/A,' LPI Calculator'!D23)</f>
        <v>2.5272727272727273E-2</v>
      </c>
      <c r="E83" s="79">
        <f>IF(' LPI Calculator'!E23="", #N/A,' LPI Calculator'!E23)</f>
        <v>2.478658536585366E-2</v>
      </c>
      <c r="F83" s="79">
        <f>IF(' LPI Calculator'!F23="", #N/A,' LPI Calculator'!F23)</f>
        <v>2.3803680981595091E-2</v>
      </c>
      <c r="G83" s="79">
        <f>IF(' LPI Calculator'!G23="", #N/A,' LPI Calculator'!G23)</f>
        <v>2.314814814814815E-2</v>
      </c>
      <c r="H83" s="79">
        <f>IF(' LPI Calculator'!H23="", #N/A,' LPI Calculator'!H23)</f>
        <v>2.2639751552795032E-2</v>
      </c>
      <c r="I83" s="79">
        <f>IF(' LPI Calculator'!I23="", #N/A,' LPI Calculator'!I23)</f>
        <v>2.1968749999999999E-2</v>
      </c>
      <c r="J83" s="79">
        <f>IF(' LPI Calculator'!J23="", #N/A,' LPI Calculator'!J23)</f>
        <v>2.1446540880503143E-2</v>
      </c>
      <c r="K83" s="79">
        <f>IF(' LPI Calculator'!K23="", #N/A,' LPI Calculator'!K23)</f>
        <v>2.0759493670886073E-2</v>
      </c>
      <c r="L83" s="79">
        <f>IF(' LPI Calculator'!L23="", #N/A,' LPI Calculator'!L23)</f>
        <v>2.0127388535031848E-2</v>
      </c>
      <c r="M83" s="79">
        <f>IF(' LPI Calculator'!M23="", #N/A,' LPI Calculator'!M23)</f>
        <v>1.9615384615384614E-2</v>
      </c>
      <c r="N83" s="79">
        <f>IF(' LPI Calculator'!N23="", #N/A,' LPI Calculator'!N23)</f>
        <v>1.8838709677419355E-2</v>
      </c>
      <c r="O83" s="79">
        <f>IF(' LPI Calculator'!O23="", #N/A,' LPI Calculator'!O23)</f>
        <v>1.827922077922078E-2</v>
      </c>
      <c r="P83" s="79">
        <f>IF(' LPI Calculator'!P23="", #N/A,' LPI Calculator'!P23)</f>
        <v>1.8169934640522876E-2</v>
      </c>
      <c r="Q83" s="79">
        <f>IF(' LPI Calculator'!Q23="", #N/A,' LPI Calculator'!Q23)</f>
        <v>1.7532894736842105E-2</v>
      </c>
      <c r="R83" s="79" t="e">
        <f>IF(' LPI Calculator'!R23="", #N/A,' LPI Calculator'!R23)</f>
        <v>#N/A</v>
      </c>
      <c r="S83" s="79" t="e">
        <f>IF(' LPI Calculator'!S23="", #N/A,' LPI Calculator'!S23)</f>
        <v>#N/A</v>
      </c>
      <c r="T83" s="79" t="e">
        <f>IF(' LPI Calculator'!T23="", #N/A,' LPI Calculator'!T23)</f>
        <v>#N/A</v>
      </c>
      <c r="U83" s="79" t="e">
        <f>IF(' LPI Calculator'!U23="", #N/A,' LPI Calculator'!U23)</f>
        <v>#N/A</v>
      </c>
      <c r="V83" s="79" t="e">
        <f>IF(' LPI Calculator'!V23="", #N/A,' LPI Calculator'!V23)</f>
        <v>#N/A</v>
      </c>
    </row>
    <row r="84" spans="2:22" x14ac:dyDescent="0.25">
      <c r="B84" t="s">
        <v>54</v>
      </c>
      <c r="C84" s="78">
        <f>IF(' LPI Calculator'!C31="","",' LPI Calculator'!C31)</f>
        <v>0.15000000000000083</v>
      </c>
      <c r="D84" s="78">
        <f>IF(' LPI Calculator'!D31="","",' LPI Calculator'!D31)</f>
        <v>0.10499999999999933</v>
      </c>
      <c r="E84" s="78">
        <f>IF(' LPI Calculator'!E31="","",' LPI Calculator'!E31)</f>
        <v>0.18500000000000033</v>
      </c>
      <c r="F84" s="78">
        <f>IF(' LPI Calculator'!F31="","",' LPI Calculator'!F31)</f>
        <v>0.12999999999999975</v>
      </c>
      <c r="G84" s="78">
        <f>IF(' LPI Calculator'!G31="","",' LPI Calculator'!G31)</f>
        <v>0.10500000000000058</v>
      </c>
      <c r="H84" s="78">
        <f>IF(' LPI Calculator'!H31="","",' LPI Calculator'!H31)</f>
        <v>0.13000000000000322</v>
      </c>
      <c r="I84" s="78">
        <f>IF(' LPI Calculator'!I31="","",' LPI Calculator'!I31)</f>
        <v>0.10499999999999975</v>
      </c>
      <c r="J84" s="78">
        <f>IF(' LPI Calculator'!J31="","",' LPI Calculator'!J31)</f>
        <v>0.13000000000000059</v>
      </c>
      <c r="K84" s="78">
        <f>IF(' LPI Calculator'!K31="","",' LPI Calculator'!K31)</f>
        <v>0.11999999999999941</v>
      </c>
      <c r="L84" s="78">
        <f>IF(' LPI Calculator'!L31="","",' LPI Calculator'!L31)</f>
        <v>9.9999999999997327E-2</v>
      </c>
      <c r="M84" s="78">
        <f>IF(' LPI Calculator'!M31="","",' LPI Calculator'!M31)</f>
        <v>0.1400000000000001</v>
      </c>
      <c r="N84" s="78">
        <f>IF(' LPI Calculator'!N31="","",' LPI Calculator'!N31)</f>
        <v>0.10500000000000016</v>
      </c>
      <c r="O84" s="78">
        <f>IF(' LPI Calculator'!O31="","",' LPI Calculator'!O31)</f>
        <v>3.499999999999992E-2</v>
      </c>
      <c r="P84" s="78">
        <f>IF(' LPI Calculator'!P31="","",' LPI Calculator'!P31)</f>
        <v>0.11500000000000009</v>
      </c>
      <c r="Q84" s="78" t="str">
        <f>IF(' LPI Calculator'!Q31="","",' LPI Calculator'!Q31)</f>
        <v/>
      </c>
      <c r="R84" s="78" t="str">
        <f>IF(' LPI Calculator'!R31="","",' LPI Calculator'!R31)</f>
        <v/>
      </c>
      <c r="S84" s="78" t="str">
        <f>IF(' LPI Calculator'!S31="","",' LPI Calculator'!S31)</f>
        <v/>
      </c>
      <c r="T84" s="78" t="str">
        <f>IF(' LPI Calculator'!T31="","",' LPI Calculator'!T31)</f>
        <v/>
      </c>
      <c r="U84" s="78" t="str">
        <f>IF(' LPI Calculator'!U31="","",' LPI Calculator'!U31)</f>
        <v/>
      </c>
      <c r="V84" s="78" t="str">
        <f>IF(' LPI Calculator'!V31="","",' LPI Calculator'!V31)</f>
        <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F69"/>
  <sheetViews>
    <sheetView showGridLines="0" topLeftCell="A34" zoomScale="90" zoomScaleNormal="90" workbookViewId="0">
      <selection activeCell="C68" sqref="C68:E68"/>
    </sheetView>
  </sheetViews>
  <sheetFormatPr defaultColWidth="8" defaultRowHeight="17.399999999999999" x14ac:dyDescent="0.3"/>
  <cols>
    <col min="1" max="1" width="1.6328125" style="3" customWidth="1"/>
    <col min="2" max="2" width="29.08984375" style="3" customWidth="1"/>
    <col min="3" max="22" width="8.7265625" style="3" customWidth="1"/>
    <col min="23" max="16384" width="8" style="2"/>
  </cols>
  <sheetData>
    <row r="1" spans="1:84" s="15" customFormat="1" ht="27" customHeight="1" x14ac:dyDescent="0.25">
      <c r="A1" s="13"/>
      <c r="B1" s="13"/>
      <c r="C1" s="14"/>
      <c r="D1" s="14"/>
      <c r="E1" s="14"/>
      <c r="F1" s="14"/>
    </row>
    <row r="2" spans="1:84" s="15" customFormat="1" ht="27.6" x14ac:dyDescent="0.45">
      <c r="A2" s="16" t="s">
        <v>45</v>
      </c>
      <c r="B2" s="13"/>
      <c r="C2" s="14"/>
      <c r="D2" s="14"/>
      <c r="E2" s="14"/>
      <c r="F2" s="14"/>
    </row>
    <row r="3" spans="1:84" s="15" customFormat="1" ht="21" x14ac:dyDescent="0.4">
      <c r="A3" s="24" t="s">
        <v>53</v>
      </c>
      <c r="B3" s="13"/>
      <c r="C3" s="14"/>
      <c r="D3" s="14"/>
      <c r="U3" s="17" t="s">
        <v>5</v>
      </c>
      <c r="V3" s="18">
        <f ca="1">TODAY()</f>
        <v>45566</v>
      </c>
    </row>
    <row r="4" spans="1:84" ht="7.5" customHeight="1" thickBot="1" x14ac:dyDescent="0.35"/>
    <row r="5" spans="1:84" s="10" customFormat="1" ht="16.2" thickBot="1" x14ac:dyDescent="0.35">
      <c r="A5" s="5" t="s">
        <v>34</v>
      </c>
      <c r="C5" s="58">
        <f>' LPI Calculator'!C14</f>
        <v>873</v>
      </c>
      <c r="D5" s="10" t="s">
        <v>4</v>
      </c>
      <c r="H5" s="64" t="s">
        <v>58</v>
      </c>
      <c r="I5" s="80">
        <f>' LPI Calculator'!I14</f>
        <v>280</v>
      </c>
      <c r="J5" s="5" t="s">
        <v>59</v>
      </c>
      <c r="M5" s="65" t="s">
        <v>73</v>
      </c>
      <c r="N5" s="81" t="str">
        <f>' LPI Calculator'!G7</f>
        <v>October</v>
      </c>
      <c r="O5" s="82">
        <f>' LPI Calculator'!H7</f>
        <v>3</v>
      </c>
    </row>
    <row r="6" spans="1:84" ht="18" customHeight="1" x14ac:dyDescent="0.3">
      <c r="A6" s="5" t="s">
        <v>35</v>
      </c>
      <c r="B6" s="10"/>
      <c r="C6" s="83">
        <f>' LPI Calculator'!C15</f>
        <v>500</v>
      </c>
      <c r="D6" s="5" t="s">
        <v>36</v>
      </c>
      <c r="E6" s="2"/>
      <c r="F6" s="2"/>
      <c r="G6" s="10"/>
      <c r="H6" s="65" t="s">
        <v>86</v>
      </c>
      <c r="I6" s="84">
        <v>1500</v>
      </c>
      <c r="J6" s="5" t="s">
        <v>85</v>
      </c>
    </row>
    <row r="7" spans="1:84" ht="18" customHeight="1" x14ac:dyDescent="0.3">
      <c r="A7" s="5" t="s">
        <v>90</v>
      </c>
      <c r="B7" s="10"/>
      <c r="C7" s="58">
        <f>SUM(C6*C5)</f>
        <v>436500</v>
      </c>
      <c r="D7" s="10" t="s">
        <v>4</v>
      </c>
      <c r="E7" s="2"/>
      <c r="F7" s="23" t="s">
        <v>10</v>
      </c>
    </row>
    <row r="8" spans="1:84" ht="18" customHeight="1" x14ac:dyDescent="0.3">
      <c r="A8" s="5"/>
      <c r="B8" s="10"/>
      <c r="C8" s="58"/>
      <c r="D8" s="10"/>
      <c r="E8" s="2"/>
      <c r="F8" s="2"/>
      <c r="BB8" s="2">
        <v>1</v>
      </c>
      <c r="BC8" s="2">
        <f>SUM(BB8+1)</f>
        <v>2</v>
      </c>
      <c r="BD8" s="2">
        <f t="shared" ref="BD8:CF8" si="0">SUM(BC8+1)</f>
        <v>3</v>
      </c>
      <c r="BE8" s="2">
        <f t="shared" si="0"/>
        <v>4</v>
      </c>
      <c r="BF8" s="2">
        <f t="shared" si="0"/>
        <v>5</v>
      </c>
      <c r="BG8" s="2">
        <f t="shared" si="0"/>
        <v>6</v>
      </c>
      <c r="BH8" s="2">
        <f t="shared" si="0"/>
        <v>7</v>
      </c>
      <c r="BI8" s="2">
        <f t="shared" si="0"/>
        <v>8</v>
      </c>
      <c r="BJ8" s="2">
        <f t="shared" si="0"/>
        <v>9</v>
      </c>
      <c r="BK8" s="2">
        <f t="shared" si="0"/>
        <v>10</v>
      </c>
      <c r="BL8" s="2">
        <f t="shared" si="0"/>
        <v>11</v>
      </c>
      <c r="BM8" s="2">
        <f t="shared" si="0"/>
        <v>12</v>
      </c>
      <c r="BN8" s="2">
        <f t="shared" si="0"/>
        <v>13</v>
      </c>
      <c r="BO8" s="2">
        <f t="shared" si="0"/>
        <v>14</v>
      </c>
      <c r="BP8" s="2">
        <f t="shared" si="0"/>
        <v>15</v>
      </c>
      <c r="BQ8" s="2">
        <f t="shared" si="0"/>
        <v>16</v>
      </c>
      <c r="BR8" s="2">
        <f t="shared" si="0"/>
        <v>17</v>
      </c>
      <c r="BS8" s="2">
        <f t="shared" si="0"/>
        <v>18</v>
      </c>
      <c r="BT8" s="2">
        <f t="shared" si="0"/>
        <v>19</v>
      </c>
      <c r="BU8" s="2">
        <f t="shared" si="0"/>
        <v>20</v>
      </c>
      <c r="BV8" s="2">
        <f t="shared" si="0"/>
        <v>21</v>
      </c>
      <c r="BW8" s="2">
        <f t="shared" si="0"/>
        <v>22</v>
      </c>
      <c r="BX8" s="2">
        <f t="shared" si="0"/>
        <v>23</v>
      </c>
      <c r="BY8" s="2">
        <f t="shared" si="0"/>
        <v>24</v>
      </c>
      <c r="BZ8" s="2">
        <f t="shared" si="0"/>
        <v>25</v>
      </c>
      <c r="CA8" s="2">
        <f t="shared" si="0"/>
        <v>26</v>
      </c>
      <c r="CB8" s="2">
        <f t="shared" si="0"/>
        <v>27</v>
      </c>
      <c r="CC8" s="2">
        <f t="shared" si="0"/>
        <v>28</v>
      </c>
      <c r="CD8" s="2">
        <f t="shared" si="0"/>
        <v>29</v>
      </c>
      <c r="CE8" s="2">
        <f t="shared" si="0"/>
        <v>30</v>
      </c>
      <c r="CF8" s="2">
        <f t="shared" si="0"/>
        <v>31</v>
      </c>
    </row>
    <row r="9" spans="1:84" ht="18" customHeight="1" x14ac:dyDescent="0.3">
      <c r="A9" s="5"/>
      <c r="B9" s="10"/>
      <c r="C9" s="7"/>
      <c r="D9" s="10"/>
      <c r="E9" s="2"/>
      <c r="F9" s="2"/>
      <c r="BB9" s="2" t="s">
        <v>61</v>
      </c>
      <c r="BC9" s="2" t="s">
        <v>62</v>
      </c>
      <c r="BD9" s="2" t="s">
        <v>63</v>
      </c>
      <c r="BE9" s="2" t="s">
        <v>64</v>
      </c>
      <c r="BF9" s="2" t="s">
        <v>65</v>
      </c>
      <c r="BG9" s="2" t="s">
        <v>66</v>
      </c>
      <c r="BH9" s="2" t="s">
        <v>67</v>
      </c>
      <c r="BI9" s="2" t="s">
        <v>68</v>
      </c>
      <c r="BJ9" s="2" t="s">
        <v>69</v>
      </c>
      <c r="BK9" s="2" t="s">
        <v>70</v>
      </c>
      <c r="BL9" s="2" t="s">
        <v>71</v>
      </c>
      <c r="BM9" s="2" t="s">
        <v>72</v>
      </c>
    </row>
    <row r="10" spans="1:84" x14ac:dyDescent="0.3">
      <c r="A10" s="140" t="s">
        <v>42</v>
      </c>
      <c r="B10" s="140"/>
      <c r="C10" s="140"/>
      <c r="D10" s="140"/>
      <c r="E10" s="140"/>
      <c r="F10" s="140"/>
      <c r="G10" s="140"/>
      <c r="H10" s="140"/>
      <c r="I10" s="140"/>
      <c r="J10" s="140"/>
      <c r="K10" s="140"/>
      <c r="L10" s="140"/>
      <c r="M10" s="140"/>
      <c r="N10" s="140"/>
      <c r="O10" s="140"/>
      <c r="P10" s="140"/>
      <c r="Q10" s="140"/>
      <c r="R10" s="140"/>
      <c r="S10" s="140"/>
      <c r="T10" s="140"/>
      <c r="U10" s="140"/>
      <c r="V10" s="140"/>
      <c r="W10" s="1"/>
      <c r="X10" s="1"/>
      <c r="Y10" s="1"/>
      <c r="Z10" s="1"/>
      <c r="AA10" s="1"/>
    </row>
    <row r="11" spans="1:84" ht="7.5" customHeight="1" x14ac:dyDescent="0.3">
      <c r="A11" s="45"/>
      <c r="B11" s="45"/>
      <c r="C11" s="45"/>
      <c r="D11" s="45"/>
      <c r="E11" s="45"/>
      <c r="F11" s="45"/>
      <c r="G11" s="45"/>
      <c r="H11" s="45"/>
      <c r="I11" s="45"/>
      <c r="J11" s="45"/>
      <c r="K11" s="45"/>
      <c r="L11" s="45"/>
      <c r="M11" s="45"/>
      <c r="N11" s="45"/>
      <c r="O11" s="45"/>
      <c r="P11" s="45"/>
      <c r="Q11" s="45"/>
      <c r="R11" s="45"/>
      <c r="S11" s="45"/>
      <c r="T11" s="45"/>
      <c r="U11" s="45"/>
      <c r="V11" s="45"/>
      <c r="W11" s="1"/>
      <c r="X11" s="1"/>
      <c r="Y11" s="1"/>
      <c r="Z11" s="1"/>
      <c r="AA11" s="1"/>
    </row>
    <row r="12" spans="1:84" x14ac:dyDescent="0.3">
      <c r="A12" s="1"/>
      <c r="C12" s="142" t="s">
        <v>46</v>
      </c>
      <c r="D12" s="142"/>
      <c r="E12" s="142"/>
      <c r="F12" s="142"/>
      <c r="G12" s="142"/>
      <c r="H12" s="142"/>
      <c r="I12" s="142"/>
      <c r="J12" s="142"/>
      <c r="K12" s="142"/>
      <c r="L12" s="142"/>
      <c r="M12" s="142"/>
      <c r="N12" s="142"/>
      <c r="O12" s="142"/>
      <c r="P12" s="142"/>
      <c r="Q12" s="142"/>
      <c r="R12" s="142"/>
      <c r="S12" s="142"/>
      <c r="T12" s="142"/>
      <c r="U12" s="142"/>
      <c r="V12" s="142"/>
    </row>
    <row r="13" spans="1:84" x14ac:dyDescent="0.3">
      <c r="A13" s="1" t="s">
        <v>55</v>
      </c>
      <c r="B13" s="2"/>
      <c r="C13" s="85">
        <f>' LPI Calculator'!C9</f>
        <v>332</v>
      </c>
      <c r="D13" s="59">
        <f>SUM(C13-2)</f>
        <v>330</v>
      </c>
      <c r="E13" s="59">
        <f t="shared" ref="E13:V13" si="1">SUM(D13-2)</f>
        <v>328</v>
      </c>
      <c r="F13" s="59">
        <f t="shared" si="1"/>
        <v>326</v>
      </c>
      <c r="G13" s="59">
        <f t="shared" si="1"/>
        <v>324</v>
      </c>
      <c r="H13" s="59">
        <f t="shared" si="1"/>
        <v>322</v>
      </c>
      <c r="I13" s="59">
        <f t="shared" si="1"/>
        <v>320</v>
      </c>
      <c r="J13" s="59">
        <f t="shared" si="1"/>
        <v>318</v>
      </c>
      <c r="K13" s="59">
        <f t="shared" si="1"/>
        <v>316</v>
      </c>
      <c r="L13" s="59">
        <f t="shared" si="1"/>
        <v>314</v>
      </c>
      <c r="M13" s="59">
        <f t="shared" si="1"/>
        <v>312</v>
      </c>
      <c r="N13" s="59">
        <f t="shared" si="1"/>
        <v>310</v>
      </c>
      <c r="O13" s="59">
        <f t="shared" si="1"/>
        <v>308</v>
      </c>
      <c r="P13" s="59">
        <f t="shared" si="1"/>
        <v>306</v>
      </c>
      <c r="Q13" s="59">
        <f t="shared" si="1"/>
        <v>304</v>
      </c>
      <c r="R13" s="59">
        <f t="shared" si="1"/>
        <v>302</v>
      </c>
      <c r="S13" s="59">
        <f t="shared" si="1"/>
        <v>300</v>
      </c>
      <c r="T13" s="59">
        <f t="shared" si="1"/>
        <v>298</v>
      </c>
      <c r="U13" s="59">
        <f t="shared" si="1"/>
        <v>296</v>
      </c>
      <c r="V13" s="59">
        <f t="shared" si="1"/>
        <v>294</v>
      </c>
    </row>
    <row r="14" spans="1:84" x14ac:dyDescent="0.3">
      <c r="A14" s="1" t="s">
        <v>56</v>
      </c>
      <c r="B14" s="2"/>
      <c r="C14" s="86">
        <f>' LPI Calculator'!C10</f>
        <v>8.64</v>
      </c>
      <c r="D14" s="86">
        <f>' LPI Calculator'!D10</f>
        <v>8.34</v>
      </c>
      <c r="E14" s="86">
        <f>' LPI Calculator'!E10</f>
        <v>8.1300000000000008</v>
      </c>
      <c r="F14" s="86">
        <f>' LPI Calculator'!F10</f>
        <v>7.76</v>
      </c>
      <c r="G14" s="86">
        <f>' LPI Calculator'!G10</f>
        <v>7.5</v>
      </c>
      <c r="H14" s="86">
        <f>' LPI Calculator'!H10</f>
        <v>7.29</v>
      </c>
      <c r="I14" s="86">
        <f>' LPI Calculator'!I10</f>
        <v>7.03</v>
      </c>
      <c r="J14" s="86">
        <f>' LPI Calculator'!J10</f>
        <v>6.82</v>
      </c>
      <c r="K14" s="86">
        <f>' LPI Calculator'!K10</f>
        <v>6.56</v>
      </c>
      <c r="L14" s="86">
        <f>' LPI Calculator'!L10</f>
        <v>6.32</v>
      </c>
      <c r="M14" s="86">
        <f>' LPI Calculator'!M10</f>
        <v>6.12</v>
      </c>
      <c r="N14" s="86">
        <f>' LPI Calculator'!N10</f>
        <v>5.84</v>
      </c>
      <c r="O14" s="86">
        <f>' LPI Calculator'!O10</f>
        <v>5.63</v>
      </c>
      <c r="P14" s="86">
        <f>' LPI Calculator'!P10</f>
        <v>5.56</v>
      </c>
      <c r="Q14" s="86">
        <f>' LPI Calculator'!Q10</f>
        <v>5.33</v>
      </c>
      <c r="R14" s="86">
        <f>' LPI Calculator'!R10</f>
        <v>0</v>
      </c>
      <c r="S14" s="86">
        <f>' LPI Calculator'!S10</f>
        <v>0</v>
      </c>
      <c r="T14" s="86">
        <f>' LPI Calculator'!T10</f>
        <v>0</v>
      </c>
      <c r="U14" s="86">
        <f>' LPI Calculator'!U10</f>
        <v>0</v>
      </c>
      <c r="V14" s="86">
        <f>' LPI Calculator'!V10</f>
        <v>0</v>
      </c>
    </row>
    <row r="15" spans="1:84" ht="7.5" customHeight="1" x14ac:dyDescent="0.3">
      <c r="C15" s="9"/>
      <c r="D15" s="9"/>
      <c r="E15" s="9"/>
      <c r="F15" s="9"/>
      <c r="G15" s="9"/>
      <c r="H15" s="9"/>
      <c r="I15" s="9"/>
      <c r="J15" s="9"/>
      <c r="K15" s="9"/>
      <c r="L15" s="9"/>
      <c r="M15" s="9"/>
      <c r="N15" s="9"/>
      <c r="O15" s="9"/>
      <c r="P15" s="9"/>
      <c r="Q15" s="9"/>
      <c r="R15" s="9"/>
      <c r="S15" s="9"/>
      <c r="T15" s="9"/>
      <c r="U15" s="9"/>
      <c r="V15" s="9"/>
    </row>
    <row r="16" spans="1:84" x14ac:dyDescent="0.3">
      <c r="A16" s="140" t="s">
        <v>41</v>
      </c>
      <c r="B16" s="140"/>
      <c r="C16" s="140"/>
      <c r="D16" s="140"/>
      <c r="E16" s="140"/>
      <c r="F16" s="140"/>
      <c r="G16" s="140"/>
      <c r="H16" s="140"/>
      <c r="I16" s="140"/>
      <c r="J16" s="140"/>
      <c r="K16" s="140"/>
      <c r="L16" s="140"/>
      <c r="M16" s="140"/>
      <c r="N16" s="140"/>
      <c r="O16" s="140"/>
      <c r="P16" s="140"/>
      <c r="Q16" s="140"/>
      <c r="R16" s="140"/>
      <c r="S16" s="140"/>
      <c r="T16" s="140"/>
      <c r="U16" s="140"/>
      <c r="V16" s="140"/>
      <c r="W16" s="1"/>
      <c r="X16" s="1"/>
      <c r="Y16" s="1"/>
      <c r="Z16" s="1"/>
      <c r="AA16" s="1"/>
    </row>
    <row r="17" spans="1:28" ht="7.5" customHeight="1" x14ac:dyDescent="0.3">
      <c r="A17" s="45"/>
      <c r="B17" s="45"/>
      <c r="C17" s="45"/>
      <c r="D17" s="45"/>
      <c r="E17" s="45"/>
      <c r="F17" s="45"/>
      <c r="G17" s="45"/>
      <c r="H17" s="45"/>
      <c r="I17" s="45"/>
      <c r="J17" s="45"/>
      <c r="K17" s="45"/>
      <c r="L17" s="45"/>
      <c r="M17" s="45"/>
      <c r="N17" s="45"/>
      <c r="O17" s="45"/>
      <c r="P17" s="45"/>
      <c r="Q17" s="45"/>
      <c r="R17" s="45"/>
      <c r="S17" s="45"/>
      <c r="T17" s="45"/>
      <c r="U17" s="45"/>
      <c r="V17" s="45"/>
      <c r="W17" s="1"/>
      <c r="X17" s="1"/>
      <c r="Y17" s="1"/>
      <c r="Z17" s="1"/>
      <c r="AA17" s="1"/>
    </row>
    <row r="18" spans="1:28" x14ac:dyDescent="0.3">
      <c r="A18" s="1" t="str">
        <f>"Premium Cost ($/head @ "&amp;C5&amp;" lbs)"</f>
        <v>Premium Cost ($/head @ 873 lbs)</v>
      </c>
      <c r="B18" s="62"/>
      <c r="C18" s="41">
        <f>IF(SUM(C14*($C$5/100))=0,"",SUM(C23/$C$6))</f>
        <v>3</v>
      </c>
      <c r="D18" s="41">
        <f>IF(SUM(D14*($C$5/100))=0,"",SUM(D23/$C$6))</f>
        <v>3</v>
      </c>
      <c r="E18" s="41">
        <f>IF(SUM(E14*($C$5/100))=0,"",SUM(E23/$C$6))</f>
        <v>3</v>
      </c>
      <c r="F18" s="41">
        <f>IF(SUM(F14*($C$5/100))=0,"",SUM(F23/$C$6))</f>
        <v>3</v>
      </c>
      <c r="G18" s="41">
        <f t="shared" ref="G18:V18" si="2">IF(SUM(G14*($C$5/100))=0,"",SUM(G23/$C$6))</f>
        <v>3</v>
      </c>
      <c r="H18" s="41">
        <f t="shared" si="2"/>
        <v>3</v>
      </c>
      <c r="I18" s="41">
        <f t="shared" si="2"/>
        <v>3</v>
      </c>
      <c r="J18" s="41">
        <f t="shared" si="2"/>
        <v>3</v>
      </c>
      <c r="K18" s="41">
        <f t="shared" si="2"/>
        <v>3</v>
      </c>
      <c r="L18" s="41">
        <f t="shared" si="2"/>
        <v>3</v>
      </c>
      <c r="M18" s="41">
        <f t="shared" si="2"/>
        <v>3</v>
      </c>
      <c r="N18" s="41">
        <f t="shared" si="2"/>
        <v>3</v>
      </c>
      <c r="O18" s="41">
        <f t="shared" si="2"/>
        <v>3</v>
      </c>
      <c r="P18" s="41">
        <f t="shared" si="2"/>
        <v>3</v>
      </c>
      <c r="Q18" s="41">
        <f t="shared" si="2"/>
        <v>3</v>
      </c>
      <c r="R18" s="41" t="str">
        <f t="shared" si="2"/>
        <v/>
      </c>
      <c r="S18" s="41" t="str">
        <f t="shared" si="2"/>
        <v/>
      </c>
      <c r="T18" s="41" t="str">
        <f t="shared" si="2"/>
        <v/>
      </c>
      <c r="U18" s="41" t="str">
        <f t="shared" si="2"/>
        <v/>
      </c>
      <c r="V18" s="41" t="str">
        <f t="shared" si="2"/>
        <v/>
      </c>
    </row>
    <row r="19" spans="1:28" x14ac:dyDescent="0.3">
      <c r="A19" s="1" t="str">
        <f>"Insured Value ($/head @ "&amp;C5&amp;" lbs)"</f>
        <v>Insured Value ($/head @ 873 lbs)</v>
      </c>
      <c r="B19" s="62"/>
      <c r="C19" s="43">
        <f>IF(SUM(C14*($C$5/100))=0,"",SUM((C18/C14)*(C13)))</f>
        <v>115.27777777777777</v>
      </c>
      <c r="D19" s="43">
        <f>IF(SUM(D14*($C$5/100))=0,"",SUM((D18/D14)*(D13)))</f>
        <v>118.70503597122301</v>
      </c>
      <c r="E19" s="43">
        <f>IF(SUM(E14*($C$5/100))=0,"",SUM((E18/E14)*(E13)))</f>
        <v>121.03321033210331</v>
      </c>
      <c r="F19" s="43">
        <f>IF(SUM(F14*($C$5/100))=0,"",SUM((F18/F14)*(F13)))</f>
        <v>126.03092783505156</v>
      </c>
      <c r="G19" s="43">
        <f t="shared" ref="G19:V19" si="3">IF(SUM(G14*($C$5/100))=0,"",SUM((G18/G14)*(G13)))</f>
        <v>129.6</v>
      </c>
      <c r="H19" s="43">
        <f t="shared" si="3"/>
        <v>132.51028806584364</v>
      </c>
      <c r="I19" s="43">
        <f t="shared" si="3"/>
        <v>136.55761024182078</v>
      </c>
      <c r="J19" s="43">
        <f t="shared" si="3"/>
        <v>139.88269794721407</v>
      </c>
      <c r="K19" s="43">
        <f t="shared" si="3"/>
        <v>144.51219512195124</v>
      </c>
      <c r="L19" s="43">
        <f t="shared" si="3"/>
        <v>149.0506329113924</v>
      </c>
      <c r="M19" s="43">
        <f t="shared" si="3"/>
        <v>152.94117647058823</v>
      </c>
      <c r="N19" s="43">
        <f t="shared" si="3"/>
        <v>159.24657534246577</v>
      </c>
      <c r="O19" s="43">
        <f t="shared" si="3"/>
        <v>164.12078152753108</v>
      </c>
      <c r="P19" s="43">
        <f t="shared" si="3"/>
        <v>165.10791366906477</v>
      </c>
      <c r="Q19" s="43">
        <f t="shared" si="3"/>
        <v>171.10694183864916</v>
      </c>
      <c r="R19" s="43" t="str">
        <f t="shared" si="3"/>
        <v/>
      </c>
      <c r="S19" s="43" t="str">
        <f t="shared" si="3"/>
        <v/>
      </c>
      <c r="T19" s="43" t="str">
        <f t="shared" si="3"/>
        <v/>
      </c>
      <c r="U19" s="43" t="str">
        <f t="shared" si="3"/>
        <v/>
      </c>
      <c r="V19" s="43" t="str">
        <f t="shared" si="3"/>
        <v/>
      </c>
    </row>
    <row r="20" spans="1:28" ht="7.5" customHeight="1" x14ac:dyDescent="0.3">
      <c r="A20" s="1"/>
      <c r="B20" s="62"/>
      <c r="C20" s="43"/>
      <c r="D20" s="43"/>
      <c r="E20" s="43"/>
      <c r="F20" s="43"/>
      <c r="G20" s="43"/>
      <c r="H20" s="43"/>
      <c r="I20" s="43"/>
      <c r="J20" s="43"/>
      <c r="K20" s="43"/>
      <c r="L20" s="43"/>
      <c r="M20" s="43"/>
      <c r="N20" s="43"/>
      <c r="O20" s="43"/>
      <c r="P20" s="43"/>
      <c r="Q20" s="43"/>
      <c r="R20" s="43"/>
      <c r="S20" s="43"/>
      <c r="T20" s="43"/>
      <c r="U20" s="43"/>
      <c r="V20" s="43"/>
    </row>
    <row r="21" spans="1:28" x14ac:dyDescent="0.3">
      <c r="A21" s="1" t="s">
        <v>49</v>
      </c>
      <c r="B21" s="62"/>
      <c r="C21" s="42">
        <f>IF(SUM(C14*($C$5/100))=0,"",SUM(C18/C19))</f>
        <v>2.6024096385542171E-2</v>
      </c>
      <c r="D21" s="42">
        <f>IF(SUM(D14*($C$5/100))=0,"",SUM(D18/D19))</f>
        <v>2.5272727272727273E-2</v>
      </c>
      <c r="E21" s="42">
        <f>IF(SUM(E14*($C$5/100))=0,"",SUM(E18/E19))</f>
        <v>2.478658536585366E-2</v>
      </c>
      <c r="F21" s="42">
        <f>IF(SUM(F14*($C$5/100))=0,"",SUM(F18/F19))</f>
        <v>2.3803680981595091E-2</v>
      </c>
      <c r="G21" s="42">
        <f t="shared" ref="G21:V21" si="4">IF(SUM(G14*($C$5/100))=0,"",SUM(G18/G19))</f>
        <v>2.314814814814815E-2</v>
      </c>
      <c r="H21" s="42">
        <f t="shared" si="4"/>
        <v>2.2639751552795028E-2</v>
      </c>
      <c r="I21" s="42">
        <f t="shared" si="4"/>
        <v>2.1968749999999999E-2</v>
      </c>
      <c r="J21" s="42">
        <f t="shared" si="4"/>
        <v>2.1446540880503146E-2</v>
      </c>
      <c r="K21" s="42">
        <f t="shared" si="4"/>
        <v>2.0759493670886073E-2</v>
      </c>
      <c r="L21" s="42">
        <f t="shared" si="4"/>
        <v>2.0127388535031848E-2</v>
      </c>
      <c r="M21" s="42">
        <f t="shared" si="4"/>
        <v>1.9615384615384614E-2</v>
      </c>
      <c r="N21" s="42">
        <f t="shared" si="4"/>
        <v>1.8838709677419352E-2</v>
      </c>
      <c r="O21" s="42">
        <f t="shared" si="4"/>
        <v>1.827922077922078E-2</v>
      </c>
      <c r="P21" s="42">
        <f t="shared" si="4"/>
        <v>1.8169934640522873E-2</v>
      </c>
      <c r="Q21" s="42">
        <f t="shared" si="4"/>
        <v>1.7532894736842105E-2</v>
      </c>
      <c r="R21" s="42" t="str">
        <f t="shared" si="4"/>
        <v/>
      </c>
      <c r="S21" s="42" t="str">
        <f t="shared" si="4"/>
        <v/>
      </c>
      <c r="T21" s="42" t="str">
        <f t="shared" si="4"/>
        <v/>
      </c>
      <c r="U21" s="42" t="str">
        <f t="shared" si="4"/>
        <v/>
      </c>
      <c r="V21" s="42" t="str">
        <f t="shared" si="4"/>
        <v/>
      </c>
    </row>
    <row r="22" spans="1:28" ht="7.5" customHeight="1" x14ac:dyDescent="0.3">
      <c r="A22" s="1"/>
      <c r="B22" s="62"/>
      <c r="C22" s="41"/>
      <c r="D22" s="41"/>
      <c r="E22" s="41"/>
      <c r="F22" s="41"/>
      <c r="G22" s="41"/>
      <c r="H22" s="41"/>
      <c r="I22" s="41"/>
      <c r="J22" s="41"/>
      <c r="K22" s="41"/>
      <c r="L22" s="41"/>
      <c r="M22" s="41"/>
      <c r="N22" s="41"/>
      <c r="O22" s="41"/>
      <c r="P22" s="41"/>
      <c r="Q22" s="41"/>
      <c r="R22" s="41"/>
      <c r="S22" s="41"/>
      <c r="T22" s="41"/>
      <c r="U22" s="41"/>
      <c r="V22" s="41"/>
    </row>
    <row r="23" spans="1:28" x14ac:dyDescent="0.3">
      <c r="A23" s="1" t="str">
        <f>"Total Premium ("&amp;C6&amp;" calves)"</f>
        <v>Total Premium (500 calves)</v>
      </c>
      <c r="B23" s="62"/>
      <c r="C23" s="90">
        <f>IF(SUM(C14*($C$5/100))=0,"",IF(' LPI Calculator'!C25&lt;$I$6,' LPI Calculator'!C25,'WLPIP 2 (HIDE)'!$I$6))</f>
        <v>1500</v>
      </c>
      <c r="D23" s="90">
        <f>IF(SUM(D14*($C$5/100))=0,"",IF(' LPI Calculator'!D25&lt;$I$6,' LPI Calculator'!D25,'WLPIP 2 (HIDE)'!$I$6))</f>
        <v>1500</v>
      </c>
      <c r="E23" s="90">
        <f>IF(SUM(E14*($C$5/100))=0,"",IF(' LPI Calculator'!E25&lt;$I$6,' LPI Calculator'!E25,'WLPIP 2 (HIDE)'!$I$6))</f>
        <v>1500</v>
      </c>
      <c r="F23" s="90">
        <f>IF(SUM(F14*($C$5/100))=0,"",IF(' LPI Calculator'!F25&lt;$I$6,' LPI Calculator'!F25,'WLPIP 2 (HIDE)'!$I$6))</f>
        <v>1500</v>
      </c>
      <c r="G23" s="90">
        <f>IF(SUM(G14*($C$5/100))=0,"",IF(' LPI Calculator'!G25&lt;$I$6,' LPI Calculator'!G25,'WLPIP 2 (HIDE)'!$I$6))</f>
        <v>1500</v>
      </c>
      <c r="H23" s="90">
        <f>IF(SUM(H14*($C$5/100))=0,"",IF(' LPI Calculator'!H25&lt;$I$6,' LPI Calculator'!H25,'WLPIP 2 (HIDE)'!$I$6))</f>
        <v>1500</v>
      </c>
      <c r="I23" s="90">
        <f>IF(SUM(I14*($C$5/100))=0,"",IF(' LPI Calculator'!I25&lt;$I$6,' LPI Calculator'!I25,'WLPIP 2 (HIDE)'!$I$6))</f>
        <v>1500</v>
      </c>
      <c r="J23" s="90">
        <f>IF(SUM(J14*($C$5/100))=0,"",IF(' LPI Calculator'!J25&lt;$I$6,' LPI Calculator'!J25,'WLPIP 2 (HIDE)'!$I$6))</f>
        <v>1500</v>
      </c>
      <c r="K23" s="90">
        <f>IF(SUM(K14*($C$5/100))=0,"",IF(' LPI Calculator'!K25&lt;$I$6,' LPI Calculator'!K25,'WLPIP 2 (HIDE)'!$I$6))</f>
        <v>1500</v>
      </c>
      <c r="L23" s="90">
        <f>IF(SUM(L14*($C$5/100))=0,"",IF(' LPI Calculator'!L25&lt;$I$6,' LPI Calculator'!L25,'WLPIP 2 (HIDE)'!$I$6))</f>
        <v>1500</v>
      </c>
      <c r="M23" s="90">
        <f>IF(SUM(M14*($C$5/100))=0,"",IF(' LPI Calculator'!M25&lt;$I$6,' LPI Calculator'!M25,'WLPIP 2 (HIDE)'!$I$6))</f>
        <v>1500</v>
      </c>
      <c r="N23" s="90">
        <f>IF(SUM(N14*($C$5/100))=0,"",IF(' LPI Calculator'!N25&lt;$I$6,' LPI Calculator'!N25,'WLPIP 2 (HIDE)'!$I$6))</f>
        <v>1500</v>
      </c>
      <c r="O23" s="90">
        <f>IF(SUM(O14*($C$5/100))=0,"",IF(' LPI Calculator'!O25&lt;$I$6,' LPI Calculator'!O25,'WLPIP 2 (HIDE)'!$I$6))</f>
        <v>1500</v>
      </c>
      <c r="P23" s="90">
        <f>IF(SUM(P14*($C$5/100))=0,"",IF(' LPI Calculator'!P25&lt;$I$6,' LPI Calculator'!P25,'WLPIP 2 (HIDE)'!$I$6))</f>
        <v>1500</v>
      </c>
      <c r="Q23" s="90">
        <f>IF(SUM(Q14*($C$5/100))=0,"",IF(' LPI Calculator'!Q25&lt;$I$6,' LPI Calculator'!Q25,'WLPIP 2 (HIDE)'!$I$6))</f>
        <v>1500</v>
      </c>
      <c r="R23" s="90" t="str">
        <f>IF(SUM(R14*($C$5/100))=0,"",IF(' LPI Calculator'!R25&lt;$I$6,' LPI Calculator'!R25,'WLPIP 2 (HIDE)'!$I$6))</f>
        <v/>
      </c>
      <c r="S23" s="90" t="str">
        <f>IF(SUM(S14*($C$5/100))=0,"",IF(' LPI Calculator'!S25&lt;$I$6,' LPI Calculator'!S25,'WLPIP 2 (HIDE)'!$I$6))</f>
        <v/>
      </c>
      <c r="T23" s="90" t="str">
        <f>IF(SUM(T14*($C$5/100))=0,"",IF(' LPI Calculator'!T25&lt;$I$6,' LPI Calculator'!T25,'WLPIP 2 (HIDE)'!$I$6))</f>
        <v/>
      </c>
      <c r="U23" s="90" t="str">
        <f>IF(SUM(U14*($C$5/100))=0,"",IF(' LPI Calculator'!U25&lt;$I$6,' LPI Calculator'!U25,'WLPIP 2 (HIDE)'!$I$6))</f>
        <v/>
      </c>
      <c r="V23" s="90" t="str">
        <f>IF(SUM(V14*($C$5/100))=0,"",IF(' LPI Calculator'!V25&lt;$I$6,' LPI Calculator'!V25,'WLPIP 2 (HIDE)'!$I$6))</f>
        <v/>
      </c>
      <c r="W23" s="2" t="s">
        <v>88</v>
      </c>
      <c r="Y23" s="153" t="s">
        <v>87</v>
      </c>
      <c r="Z23" s="153"/>
      <c r="AA23" s="153"/>
      <c r="AB23" s="153"/>
    </row>
    <row r="24" spans="1:28" x14ac:dyDescent="0.3">
      <c r="A24" s="1" t="str">
        <f>"Total Insured ("&amp;C6&amp;" calves)"</f>
        <v>Total Insured (500 calves)</v>
      </c>
      <c r="B24" s="1"/>
      <c r="C24" s="43">
        <f>IF(SUM(C14*($C$5/100))=0,"",SUM(C19*$C$6))</f>
        <v>57638.888888888883</v>
      </c>
      <c r="D24" s="43">
        <f>IF(SUM(D14*($C$5/100))=0,"",SUM(D19*$C$6))</f>
        <v>59352.517985611506</v>
      </c>
      <c r="E24" s="43">
        <f>IF(SUM(E14*($C$5/100))=0,"",SUM(E19*$C$6))</f>
        <v>60516.605166051653</v>
      </c>
      <c r="F24" s="43">
        <f>IF(SUM(F14*($C$5/100))=0,"",SUM(F19*$C$6))</f>
        <v>63015.463917525776</v>
      </c>
      <c r="G24" s="43">
        <f t="shared" ref="G24:V24" si="5">IF(SUM(G14*($C$5/100))=0,"",SUM(G19*$C$6))</f>
        <v>64800</v>
      </c>
      <c r="H24" s="43">
        <f t="shared" si="5"/>
        <v>66255.144032921817</v>
      </c>
      <c r="I24" s="43">
        <f t="shared" si="5"/>
        <v>68278.805120910387</v>
      </c>
      <c r="J24" s="43">
        <f t="shared" si="5"/>
        <v>69941.348973607033</v>
      </c>
      <c r="K24" s="43">
        <f t="shared" si="5"/>
        <v>72256.097560975613</v>
      </c>
      <c r="L24" s="43">
        <f t="shared" si="5"/>
        <v>74525.3164556962</v>
      </c>
      <c r="M24" s="43">
        <f t="shared" si="5"/>
        <v>76470.588235294112</v>
      </c>
      <c r="N24" s="43">
        <f t="shared" si="5"/>
        <v>79623.287671232887</v>
      </c>
      <c r="O24" s="43">
        <f t="shared" si="5"/>
        <v>82060.390763765536</v>
      </c>
      <c r="P24" s="43">
        <f t="shared" si="5"/>
        <v>82553.956834532379</v>
      </c>
      <c r="Q24" s="43">
        <f t="shared" si="5"/>
        <v>85553.47091932458</v>
      </c>
      <c r="R24" s="43" t="str">
        <f t="shared" si="5"/>
        <v/>
      </c>
      <c r="S24" s="43" t="str">
        <f t="shared" si="5"/>
        <v/>
      </c>
      <c r="T24" s="43" t="str">
        <f t="shared" si="5"/>
        <v/>
      </c>
      <c r="U24" s="43" t="str">
        <f t="shared" si="5"/>
        <v/>
      </c>
      <c r="V24" s="43" t="str">
        <f t="shared" si="5"/>
        <v/>
      </c>
      <c r="Y24" s="153"/>
      <c r="Z24" s="153"/>
      <c r="AA24" s="153"/>
      <c r="AB24" s="153"/>
    </row>
    <row r="25" spans="1:28" ht="7.5" customHeight="1" x14ac:dyDescent="0.3">
      <c r="C25" s="6"/>
      <c r="D25" s="6"/>
      <c r="E25" s="6"/>
      <c r="F25" s="6"/>
      <c r="G25" s="6"/>
      <c r="H25" s="6"/>
      <c r="I25" s="6"/>
      <c r="J25" s="6"/>
      <c r="Y25" s="153"/>
      <c r="Z25" s="153"/>
      <c r="AA25" s="153"/>
      <c r="AB25" s="153"/>
    </row>
    <row r="26" spans="1:28" x14ac:dyDescent="0.3">
      <c r="A26" s="1" t="str">
        <f>"WLPIP Payment at Estimated Settlement Price = $"&amp;I5&amp;"/cwt"</f>
        <v>WLPIP Payment at Estimated Settlement Price = $280/cwt</v>
      </c>
      <c r="C26" s="41"/>
      <c r="D26" s="41"/>
      <c r="E26" s="41"/>
      <c r="F26" s="41"/>
      <c r="G26" s="41"/>
      <c r="H26" s="41"/>
      <c r="I26" s="41"/>
      <c r="J26" s="41"/>
      <c r="K26" s="41"/>
      <c r="L26" s="41"/>
      <c r="M26" s="41"/>
      <c r="N26" s="41"/>
      <c r="O26" s="41"/>
      <c r="P26" s="41"/>
      <c r="Q26" s="41"/>
      <c r="R26" s="41"/>
      <c r="S26" s="41"/>
      <c r="T26" s="41"/>
      <c r="U26" s="41"/>
      <c r="V26" s="41"/>
      <c r="Y26" s="153"/>
      <c r="Z26" s="153"/>
      <c r="AA26" s="153"/>
      <c r="AB26" s="153"/>
    </row>
    <row r="27" spans="1:28" x14ac:dyDescent="0.3">
      <c r="B27" s="3" t="s">
        <v>60</v>
      </c>
      <c r="C27" s="43">
        <f>IF(SUM(C14*($C$5/100))=0,"",IF(ROUND(C13-$I$5,1)&lt;1,"-",SUM(C13-$I$5)*(C18/C14)))</f>
        <v>18.055555555555554</v>
      </c>
      <c r="D27" s="43">
        <f>IF(SUM(D14*($C$5/100))=0,"",IF(ROUND(D13-$I$5,1)&lt;1,"-",SUM(D13-$I$5)*(D18/D14)))</f>
        <v>17.985611510791365</v>
      </c>
      <c r="E27" s="43">
        <f>IF(SUM(E14*($C$5/100))=0,"",IF(ROUND(E13-$I$5,1)&lt;1,"-",SUM(E13-$I$5)*(E18/E14)))</f>
        <v>17.712177121771216</v>
      </c>
      <c r="F27" s="43">
        <f>IF(SUM(F14*($C$5/100))=0,"",IF(ROUND(F13-$I$5,1)&lt;1,"-",SUM(F13-$I$5)*(F18/F14)))</f>
        <v>17.783505154639176</v>
      </c>
      <c r="G27" s="43">
        <f t="shared" ref="G27:V27" si="6">IF(SUM(G14*($C$5/100))=0,"",IF(ROUND(G13-$I$5,1)&lt;1,"-",SUM(G13-$I$5)*(G18/G14)))</f>
        <v>17.600000000000001</v>
      </c>
      <c r="H27" s="43">
        <f t="shared" si="6"/>
        <v>17.283950617283953</v>
      </c>
      <c r="I27" s="43">
        <f t="shared" si="6"/>
        <v>17.069701280227598</v>
      </c>
      <c r="J27" s="43">
        <f t="shared" si="6"/>
        <v>16.715542521994134</v>
      </c>
      <c r="K27" s="43">
        <f t="shared" si="6"/>
        <v>16.463414634146343</v>
      </c>
      <c r="L27" s="43">
        <f t="shared" si="6"/>
        <v>16.139240506329113</v>
      </c>
      <c r="M27" s="43">
        <f t="shared" si="6"/>
        <v>15.686274509803921</v>
      </c>
      <c r="N27" s="43">
        <f t="shared" si="6"/>
        <v>15.410958904109592</v>
      </c>
      <c r="O27" s="43">
        <f t="shared" si="6"/>
        <v>14.920071047957371</v>
      </c>
      <c r="P27" s="43">
        <f t="shared" si="6"/>
        <v>14.028776978417268</v>
      </c>
      <c r="Q27" s="43">
        <f t="shared" si="6"/>
        <v>13.50844277673546</v>
      </c>
      <c r="R27" s="43" t="str">
        <f t="shared" si="6"/>
        <v/>
      </c>
      <c r="S27" s="43" t="str">
        <f t="shared" si="6"/>
        <v/>
      </c>
      <c r="T27" s="43" t="str">
        <f t="shared" si="6"/>
        <v/>
      </c>
      <c r="U27" s="43" t="str">
        <f t="shared" si="6"/>
        <v/>
      </c>
      <c r="V27" s="43" t="str">
        <f t="shared" si="6"/>
        <v/>
      </c>
      <c r="Y27" s="153"/>
      <c r="Z27" s="153"/>
      <c r="AA27" s="153"/>
      <c r="AB27" s="153"/>
    </row>
    <row r="28" spans="1:28" x14ac:dyDescent="0.3">
      <c r="B28" s="1" t="str">
        <f>"Total WLPIP ($ per "&amp;C6&amp;" calves)"</f>
        <v>Total WLPIP ($ per 500 calves)</v>
      </c>
      <c r="C28" s="43">
        <f>IF(SUM(C14*($C$5/100))=0,"",IF(C27="-","-",SUM(C27*$C$6)))</f>
        <v>9027.7777777777774</v>
      </c>
      <c r="D28" s="43">
        <f>IF(SUM(D14*($C$5/100))=0,"",IF(D27="-","-",SUM(D27*$C$6)))</f>
        <v>8992.8057553956824</v>
      </c>
      <c r="E28" s="43">
        <f>IF(SUM(E14*($C$5/100))=0,"",IF(E27="-","-",SUM(E27*$C$6)))</f>
        <v>8856.0885608856079</v>
      </c>
      <c r="F28" s="43">
        <f t="shared" ref="F28:V28" si="7">IF(SUM(F14*($C$5/100))=0,"",IF(F27="-","-",SUM(F27*$C$6)))</f>
        <v>8891.7525773195885</v>
      </c>
      <c r="G28" s="43">
        <f t="shared" si="7"/>
        <v>8800</v>
      </c>
      <c r="H28" s="43">
        <f t="shared" si="7"/>
        <v>8641.9753086419769</v>
      </c>
      <c r="I28" s="43">
        <f t="shared" si="7"/>
        <v>8534.8506401137984</v>
      </c>
      <c r="J28" s="43">
        <f t="shared" si="7"/>
        <v>8357.7712609970677</v>
      </c>
      <c r="K28" s="43">
        <f t="shared" si="7"/>
        <v>8231.707317073171</v>
      </c>
      <c r="L28" s="43">
        <f t="shared" si="7"/>
        <v>8069.6202531645567</v>
      </c>
      <c r="M28" s="43">
        <f t="shared" si="7"/>
        <v>7843.1372549019607</v>
      </c>
      <c r="N28" s="43">
        <f t="shared" si="7"/>
        <v>7705.4794520547957</v>
      </c>
      <c r="O28" s="43">
        <f t="shared" si="7"/>
        <v>7460.0355239786859</v>
      </c>
      <c r="P28" s="43">
        <f t="shared" si="7"/>
        <v>7014.3884892086335</v>
      </c>
      <c r="Q28" s="43">
        <f t="shared" si="7"/>
        <v>6754.2213883677305</v>
      </c>
      <c r="R28" s="43" t="str">
        <f t="shared" si="7"/>
        <v/>
      </c>
      <c r="S28" s="43" t="str">
        <f t="shared" si="7"/>
        <v/>
      </c>
      <c r="T28" s="43" t="str">
        <f t="shared" si="7"/>
        <v/>
      </c>
      <c r="U28" s="43" t="str">
        <f t="shared" si="7"/>
        <v/>
      </c>
      <c r="V28" s="43" t="str">
        <f t="shared" si="7"/>
        <v/>
      </c>
      <c r="Y28" s="153"/>
      <c r="Z28" s="153"/>
      <c r="AA28" s="153"/>
      <c r="AB28" s="153"/>
    </row>
    <row r="29" spans="1:28" ht="7.5" customHeight="1" x14ac:dyDescent="0.3">
      <c r="C29" s="6"/>
      <c r="D29" s="6"/>
      <c r="E29" s="6"/>
      <c r="F29" s="6"/>
      <c r="G29" s="6"/>
      <c r="H29" s="6"/>
      <c r="I29" s="6"/>
      <c r="J29" s="6"/>
      <c r="Y29" s="153"/>
      <c r="Z29" s="153"/>
      <c r="AA29" s="153"/>
      <c r="AB29" s="153"/>
    </row>
    <row r="30" spans="1:28" x14ac:dyDescent="0.3">
      <c r="A30" s="1" t="s">
        <v>74</v>
      </c>
      <c r="C30" s="6"/>
      <c r="D30" s="6"/>
      <c r="E30" s="6"/>
      <c r="F30" s="6"/>
      <c r="G30" s="6"/>
      <c r="H30" s="6"/>
      <c r="I30" s="6"/>
      <c r="J30" s="6"/>
      <c r="Y30" s="153"/>
      <c r="Z30" s="153"/>
      <c r="AA30" s="153"/>
      <c r="AB30" s="153"/>
    </row>
    <row r="31" spans="1:28" x14ac:dyDescent="0.3">
      <c r="B31" s="3" t="s">
        <v>38</v>
      </c>
      <c r="C31" s="52">
        <f>IF(SUM(C14*($C$5/100))=0,"",IF(C18+'Cost of Production'!$C$31-'WLPIP 2 (HIDE)'!C19&lt;0,"-",SUM(C18+'Cost of Production'!$C$31-'WLPIP 2 (HIDE)'!C19)))</f>
        <v>2415.212222222222</v>
      </c>
      <c r="D31" s="52">
        <f>IF(SUM(D14*($C$5/100))=0,"",IF(D18+'Cost of Production'!$C$31-'WLPIP 2 (HIDE)'!D19&lt;0,"-",SUM(D18+'Cost of Production'!$C$31-'WLPIP 2 (HIDE)'!D19)))</f>
        <v>2411.7849640287768</v>
      </c>
      <c r="E31" s="52">
        <f>IF(SUM(E14*($C$5/100))=0,"",IF(E18+'Cost of Production'!$C$31-'WLPIP 2 (HIDE)'!E19&lt;0,"-",SUM(E18+'Cost of Production'!$C$31-'WLPIP 2 (HIDE)'!E19)))</f>
        <v>2409.4567896678964</v>
      </c>
      <c r="F31" s="52">
        <f>IF(SUM(F14*($C$5/100))=0,"",IF(F18+'Cost of Production'!$C$31-'WLPIP 2 (HIDE)'!F19&lt;0,"-",SUM(F18+'Cost of Production'!$C$31-'WLPIP 2 (HIDE)'!F19)))</f>
        <v>2404.4590721649483</v>
      </c>
      <c r="G31" s="52">
        <f>IF(SUM(G14*($C$5/100))=0,"",IF(G18+'Cost of Production'!$C$31-'WLPIP 2 (HIDE)'!G19&lt;0,"-",SUM(G18+'Cost of Production'!$C$31-'WLPIP 2 (HIDE)'!G19)))</f>
        <v>2400.89</v>
      </c>
      <c r="H31" s="52">
        <f>IF(SUM(H14*($C$5/100))=0,"",IF(H18+'Cost of Production'!$C$31-'WLPIP 2 (HIDE)'!H19&lt;0,"-",SUM(H18+'Cost of Production'!$C$31-'WLPIP 2 (HIDE)'!H19)))</f>
        <v>2397.9797119341561</v>
      </c>
      <c r="I31" s="52">
        <f>IF(SUM(I14*($C$5/100))=0,"",IF(I18+'Cost of Production'!$C$31-'WLPIP 2 (HIDE)'!I19&lt;0,"-",SUM(I18+'Cost of Production'!$C$31-'WLPIP 2 (HIDE)'!I19)))</f>
        <v>2393.9323897581789</v>
      </c>
      <c r="J31" s="52">
        <f>IF(SUM(J14*($C$5/100))=0,"",IF(J18+'Cost of Production'!$C$31-'WLPIP 2 (HIDE)'!J19&lt;0,"-",SUM(J18+'Cost of Production'!$C$31-'WLPIP 2 (HIDE)'!J19)))</f>
        <v>2390.6073020527856</v>
      </c>
      <c r="K31" s="52">
        <f>IF(SUM(K14*($C$5/100))=0,"",IF(K18+'Cost of Production'!$C$31-'WLPIP 2 (HIDE)'!K19&lt;0,"-",SUM(K18+'Cost of Production'!$C$31-'WLPIP 2 (HIDE)'!K19)))</f>
        <v>2385.9778048780486</v>
      </c>
      <c r="L31" s="52">
        <f>IF(SUM(L14*($C$5/100))=0,"",IF(L18+'Cost of Production'!$C$31-'WLPIP 2 (HIDE)'!L19&lt;0,"-",SUM(L18+'Cost of Production'!$C$31-'WLPIP 2 (HIDE)'!L19)))</f>
        <v>2381.4393670886075</v>
      </c>
      <c r="M31" s="52">
        <f>IF(SUM(M14*($C$5/100))=0,"",IF(M18+'Cost of Production'!$C$31-'WLPIP 2 (HIDE)'!M19&lt;0,"-",SUM(M18+'Cost of Production'!$C$31-'WLPIP 2 (HIDE)'!M19)))</f>
        <v>2377.5488235294115</v>
      </c>
      <c r="N31" s="52">
        <f>IF(SUM(N14*($C$5/100))=0,"",IF(N18+'Cost of Production'!$C$31-'WLPIP 2 (HIDE)'!N19&lt;0,"-",SUM(N18+'Cost of Production'!$C$31-'WLPIP 2 (HIDE)'!N19)))</f>
        <v>2371.243424657534</v>
      </c>
      <c r="O31" s="52">
        <f>IF(SUM(O14*($C$5/100))=0,"",IF(O18+'Cost of Production'!$C$31-'WLPIP 2 (HIDE)'!O19&lt;0,"-",SUM(O18+'Cost of Production'!$C$31-'WLPIP 2 (HIDE)'!O19)))</f>
        <v>2366.3692184724687</v>
      </c>
      <c r="P31" s="52">
        <f>IF(SUM(P14*($C$5/100))=0,"",IF(P18+'Cost of Production'!$C$31-'WLPIP 2 (HIDE)'!P19&lt;0,"-",SUM(P18+'Cost of Production'!$C$31-'WLPIP 2 (HIDE)'!P19)))</f>
        <v>2365.3820863309352</v>
      </c>
      <c r="Q31" s="52">
        <f>IF(SUM(Q14*($C$5/100))=0,"",IF(Q18+'Cost of Production'!$C$31-'WLPIP 2 (HIDE)'!Q19&lt;0,"-",SUM(Q18+'Cost of Production'!$C$31-'WLPIP 2 (HIDE)'!Q19)))</f>
        <v>2359.3830581613506</v>
      </c>
      <c r="R31" s="52" t="str">
        <f>IF(SUM(R14*($C$5/100))=0,"",IF(R18+'Cost of Production'!$C$31-'WLPIP 2 (HIDE)'!R19&lt;0,"-",SUM(R18+'Cost of Production'!$C$31-'WLPIP 2 (HIDE)'!R19)))</f>
        <v/>
      </c>
      <c r="S31" s="52" t="str">
        <f>IF(SUM(S14*($C$5/100))=0,"",IF(S18+'Cost of Production'!$C$31-'WLPIP 2 (HIDE)'!S19&lt;0,"-",SUM(S18+'Cost of Production'!$C$31-'WLPIP 2 (HIDE)'!S19)))</f>
        <v/>
      </c>
      <c r="T31" s="52" t="str">
        <f>IF(SUM(T14*($C$5/100))=0,"",IF(T18+'Cost of Production'!$C$31-'WLPIP 2 (HIDE)'!T19&lt;0,"-",SUM(T18+'Cost of Production'!$C$31-'WLPIP 2 (HIDE)'!T19)))</f>
        <v/>
      </c>
      <c r="U31" s="52" t="str">
        <f>IF(SUM(U14*($C$5/100))=0,"",IF(U18+'Cost of Production'!$C$31-'WLPIP 2 (HIDE)'!U19&lt;0,"-",SUM(U18+'Cost of Production'!$C$31-'WLPIP 2 (HIDE)'!U19)))</f>
        <v/>
      </c>
      <c r="V31" s="52" t="str">
        <f>IF(SUM(V14*($C$5/100))=0,"",IF(V18+'Cost of Production'!$C$31-'WLPIP 2 (HIDE)'!V19&lt;0,"-",SUM(V18+'Cost of Production'!$C$31-'WLPIP 2 (HIDE)'!V19)))</f>
        <v/>
      </c>
    </row>
    <row r="32" spans="1:28" x14ac:dyDescent="0.3">
      <c r="B32" s="3" t="s">
        <v>47</v>
      </c>
      <c r="C32" s="52">
        <f>IF(SUM(C14*($C$5/100))=0,"",IF(C18+'Cost of Production'!$C$31+'Cost of Production'!$C$46-'WLPIP 2 (HIDE)'!C19&lt;0,"-",SUM(C18+'Cost of Production'!$C$31+'Cost of Production'!$C$46-'WLPIP 2 (HIDE)'!C19)))</f>
        <v>5003.8322222222223</v>
      </c>
      <c r="D32" s="52">
        <f>IF(SUM(D14*($C$5/100))=0,"",IF(D18+'Cost of Production'!$C$31+'Cost of Production'!$C$46-'WLPIP 2 (HIDE)'!D19&lt;0,"-",SUM(D18+'Cost of Production'!$C$31+'Cost of Production'!$C$46-'WLPIP 2 (HIDE)'!D19)))</f>
        <v>5000.4049640287767</v>
      </c>
      <c r="E32" s="52">
        <f>IF(SUM(E14*($C$5/100))=0,"",IF(E18+'Cost of Production'!$C$31+'Cost of Production'!$C$46-'WLPIP 2 (HIDE)'!E19&lt;0,"-",SUM(E18+'Cost of Production'!$C$31+'Cost of Production'!$C$46-'WLPIP 2 (HIDE)'!E19)))</f>
        <v>4998.0767896678963</v>
      </c>
      <c r="F32" s="52">
        <f>IF(SUM(F14*($C$5/100))=0,"",IF(F18+'Cost of Production'!$C$31+'Cost of Production'!$C$46-'WLPIP 2 (HIDE)'!F19&lt;0,"-",SUM(F18+'Cost of Production'!$C$31+'Cost of Production'!$C$46-'WLPIP 2 (HIDE)'!F19)))</f>
        <v>4993.0790721649482</v>
      </c>
      <c r="G32" s="52">
        <f>IF(SUM(G14*($C$5/100))=0,"",IF(G18+'Cost of Production'!$C$31+'Cost of Production'!$C$46-'WLPIP 2 (HIDE)'!G19&lt;0,"-",SUM(G18+'Cost of Production'!$C$31+'Cost of Production'!$C$46-'WLPIP 2 (HIDE)'!G19)))</f>
        <v>4989.5099999999993</v>
      </c>
      <c r="H32" s="52">
        <f>IF(SUM(H14*($C$5/100))=0,"",IF(H18+'Cost of Production'!$C$31+'Cost of Production'!$C$46-'WLPIP 2 (HIDE)'!H19&lt;0,"-",SUM(H18+'Cost of Production'!$C$31+'Cost of Production'!$C$46-'WLPIP 2 (HIDE)'!H19)))</f>
        <v>4986.5997119341564</v>
      </c>
      <c r="I32" s="52">
        <f>IF(SUM(I14*($C$5/100))=0,"",IF(I18+'Cost of Production'!$C$31+'Cost of Production'!$C$46-'WLPIP 2 (HIDE)'!I19&lt;0,"-",SUM(I18+'Cost of Production'!$C$31+'Cost of Production'!$C$46-'WLPIP 2 (HIDE)'!I19)))</f>
        <v>4982.5523897581788</v>
      </c>
      <c r="J32" s="52">
        <f>IF(SUM(J14*($C$5/100))=0,"",IF(J18+'Cost of Production'!$C$31+'Cost of Production'!$C$46-'WLPIP 2 (HIDE)'!J19&lt;0,"-",SUM(J18+'Cost of Production'!$C$31+'Cost of Production'!$C$46-'WLPIP 2 (HIDE)'!J19)))</f>
        <v>4979.2273020527855</v>
      </c>
      <c r="K32" s="52">
        <f>IF(SUM(K14*($C$5/100))=0,"",IF(K18+'Cost of Production'!$C$31+'Cost of Production'!$C$46-'WLPIP 2 (HIDE)'!K19&lt;0,"-",SUM(K18+'Cost of Production'!$C$31+'Cost of Production'!$C$46-'WLPIP 2 (HIDE)'!K19)))</f>
        <v>4974.597804878048</v>
      </c>
      <c r="L32" s="52">
        <f>IF(SUM(L14*($C$5/100))=0,"",IF(L18+'Cost of Production'!$C$31+'Cost of Production'!$C$46-'WLPIP 2 (HIDE)'!L19&lt;0,"-",SUM(L18+'Cost of Production'!$C$31+'Cost of Production'!$C$46-'WLPIP 2 (HIDE)'!L19)))</f>
        <v>4970.0593670886074</v>
      </c>
      <c r="M32" s="52">
        <f>IF(SUM(M14*($C$5/100))=0,"",IF(M18+'Cost of Production'!$C$31+'Cost of Production'!$C$46-'WLPIP 2 (HIDE)'!M19&lt;0,"-",SUM(M18+'Cost of Production'!$C$31+'Cost of Production'!$C$46-'WLPIP 2 (HIDE)'!M19)))</f>
        <v>4966.1688235294114</v>
      </c>
      <c r="N32" s="52">
        <f>IF(SUM(N14*($C$5/100))=0,"",IF(N18+'Cost of Production'!$C$31+'Cost of Production'!$C$46-'WLPIP 2 (HIDE)'!N19&lt;0,"-",SUM(N18+'Cost of Production'!$C$31+'Cost of Production'!$C$46-'WLPIP 2 (HIDE)'!N19)))</f>
        <v>4959.8634246575339</v>
      </c>
      <c r="O32" s="52">
        <f>IF(SUM(O14*($C$5/100))=0,"",IF(O18+'Cost of Production'!$C$31+'Cost of Production'!$C$46-'WLPIP 2 (HIDE)'!O19&lt;0,"-",SUM(O18+'Cost of Production'!$C$31+'Cost of Production'!$C$46-'WLPIP 2 (HIDE)'!O19)))</f>
        <v>4954.9892184724686</v>
      </c>
      <c r="P32" s="52">
        <f>IF(SUM(P14*($C$5/100))=0,"",IF(P18+'Cost of Production'!$C$31+'Cost of Production'!$C$46-'WLPIP 2 (HIDE)'!P19&lt;0,"-",SUM(P18+'Cost of Production'!$C$31+'Cost of Production'!$C$46-'WLPIP 2 (HIDE)'!P19)))</f>
        <v>4954.0020863309346</v>
      </c>
      <c r="Q32" s="52">
        <f>IF(SUM(Q14*($C$5/100))=0,"",IF(Q18+'Cost of Production'!$C$31+'Cost of Production'!$C$46-'WLPIP 2 (HIDE)'!Q19&lt;0,"-",SUM(Q18+'Cost of Production'!$C$31+'Cost of Production'!$C$46-'WLPIP 2 (HIDE)'!Q19)))</f>
        <v>4948.0030581613501</v>
      </c>
      <c r="R32" s="52" t="str">
        <f>IF(SUM(R14*($C$5/100))=0,"",IF(R18+'Cost of Production'!$C$31+'Cost of Production'!$C$46-'WLPIP 2 (HIDE)'!R19&lt;0,"-",SUM(R18+'Cost of Production'!$C$31+'Cost of Production'!$C$46-'WLPIP 2 (HIDE)'!R19)))</f>
        <v/>
      </c>
      <c r="S32" s="52" t="str">
        <f>IF(SUM(S14*($C$5/100))=0,"",IF(S18+'Cost of Production'!$C$31+'Cost of Production'!$C$46-'WLPIP 2 (HIDE)'!S19&lt;0,"-",SUM(S18+'Cost of Production'!$C$31+'Cost of Production'!$C$46-'WLPIP 2 (HIDE)'!S19)))</f>
        <v/>
      </c>
      <c r="T32" s="52" t="str">
        <f>IF(SUM(T14*($C$5/100))=0,"",IF(T18+'Cost of Production'!$C$31+'Cost of Production'!$C$46-'WLPIP 2 (HIDE)'!T19&lt;0,"-",SUM(T18+'Cost of Production'!$C$31+'Cost of Production'!$C$46-'WLPIP 2 (HIDE)'!T19)))</f>
        <v/>
      </c>
      <c r="U32" s="52" t="str">
        <f>IF(SUM(U14*($C$5/100))=0,"",IF(U18+'Cost of Production'!$C$31+'Cost of Production'!$C$46-'WLPIP 2 (HIDE)'!U19&lt;0,"-",SUM(U18+'Cost of Production'!$C$31+'Cost of Production'!$C$46-'WLPIP 2 (HIDE)'!U19)))</f>
        <v/>
      </c>
      <c r="V32" s="52" t="str">
        <f>IF(SUM(V14*($C$5/100))=0,"",IF(V18+'Cost of Production'!$C$31+'Cost of Production'!$C$46-'WLPIP 2 (HIDE)'!V19&lt;0,"-",SUM(V18+'Cost of Production'!$C$31+'Cost of Production'!$C$46-'WLPIP 2 (HIDE)'!V19)))</f>
        <v/>
      </c>
    </row>
    <row r="33" spans="1:54" x14ac:dyDescent="0.3">
      <c r="B33" s="3" t="s">
        <v>39</v>
      </c>
      <c r="C33" s="52" t="str">
        <f>IF(SUM(C14*($C$5/100))=0,"",IF(C18+'Cost of Production'!$C$44-'WLPIP 2 (HIDE)'!C19&lt;0,"-",SUM(C18+'Cost of Production'!$C$44-'WLPIP 2 (HIDE)'!C19)))</f>
        <v>-</v>
      </c>
      <c r="D33" s="52" t="str">
        <f>IF(SUM(D14*($C$5/100))=0,"",IF(D18+'Cost of Production'!$C$44-'WLPIP 2 (HIDE)'!D19&lt;0,"-",SUM(D18+'Cost of Production'!$C$44-'WLPIP 2 (HIDE)'!D19)))</f>
        <v>-</v>
      </c>
      <c r="E33" s="52" t="str">
        <f>IF(SUM(E14*($C$5/100))=0,"",IF(E18+'Cost of Production'!$C$44-'WLPIP 2 (HIDE)'!E19&lt;0,"-",SUM(E18+'Cost of Production'!$C$44-'WLPIP 2 (HIDE)'!E19)))</f>
        <v>-</v>
      </c>
      <c r="F33" s="52" t="str">
        <f>IF(SUM(F14*($C$5/100))=0,"",IF(F18+'Cost of Production'!$C$44-'WLPIP 2 (HIDE)'!F19&lt;0,"-",SUM(F18+'Cost of Production'!$C$44-'WLPIP 2 (HIDE)'!F19)))</f>
        <v>-</v>
      </c>
      <c r="G33" s="52" t="str">
        <f>IF(SUM(G14*($C$5/100))=0,"",IF(G18+'Cost of Production'!$C$44-'WLPIP 2 (HIDE)'!G19&lt;0,"-",SUM(G18+'Cost of Production'!$C$44-'WLPIP 2 (HIDE)'!G19)))</f>
        <v>-</v>
      </c>
      <c r="H33" s="52" t="str">
        <f>IF(SUM(H14*($C$5/100))=0,"",IF(H18+'Cost of Production'!$C$44-'WLPIP 2 (HIDE)'!H19&lt;0,"-",SUM(H18+'Cost of Production'!$C$44-'WLPIP 2 (HIDE)'!H19)))</f>
        <v>-</v>
      </c>
      <c r="I33" s="52" t="str">
        <f>IF(SUM(I14*($C$5/100))=0,"",IF(I18+'Cost of Production'!$C$44-'WLPIP 2 (HIDE)'!I19&lt;0,"-",SUM(I18+'Cost of Production'!$C$44-'WLPIP 2 (HIDE)'!I19)))</f>
        <v>-</v>
      </c>
      <c r="J33" s="52" t="str">
        <f>IF(SUM(J14*($C$5/100))=0,"",IF(J18+'Cost of Production'!$C$44-'WLPIP 2 (HIDE)'!J19&lt;0,"-",SUM(J18+'Cost of Production'!$C$44-'WLPIP 2 (HIDE)'!J19)))</f>
        <v>-</v>
      </c>
      <c r="K33" s="52" t="str">
        <f>IF(SUM(K14*($C$5/100))=0,"",IF(K18+'Cost of Production'!$C$44-'WLPIP 2 (HIDE)'!K19&lt;0,"-",SUM(K18+'Cost of Production'!$C$44-'WLPIP 2 (HIDE)'!K19)))</f>
        <v>-</v>
      </c>
      <c r="L33" s="52" t="str">
        <f>IF(SUM(L14*($C$5/100))=0,"",IF(L18+'Cost of Production'!$C$44-'WLPIP 2 (HIDE)'!L19&lt;0,"-",SUM(L18+'Cost of Production'!$C$44-'WLPIP 2 (HIDE)'!L19)))</f>
        <v>-</v>
      </c>
      <c r="M33" s="52" t="str">
        <f>IF(SUM(M14*($C$5/100))=0,"",IF(M18+'Cost of Production'!$C$44-'WLPIP 2 (HIDE)'!M19&lt;0,"-",SUM(M18+'Cost of Production'!$C$44-'WLPIP 2 (HIDE)'!M19)))</f>
        <v>-</v>
      </c>
      <c r="N33" s="52" t="str">
        <f>IF(SUM(N14*($C$5/100))=0,"",IF(N18+'Cost of Production'!$C$44-'WLPIP 2 (HIDE)'!N19&lt;0,"-",SUM(N18+'Cost of Production'!$C$44-'WLPIP 2 (HIDE)'!N19)))</f>
        <v>-</v>
      </c>
      <c r="O33" s="52" t="str">
        <f>IF(SUM(O14*($C$5/100))=0,"",IF(O18+'Cost of Production'!$C$44-'WLPIP 2 (HIDE)'!O19&lt;0,"-",SUM(O18+'Cost of Production'!$C$44-'WLPIP 2 (HIDE)'!O19)))</f>
        <v>-</v>
      </c>
      <c r="P33" s="52" t="str">
        <f>IF(SUM(P14*($C$5/100))=0,"",IF(P18+'Cost of Production'!$C$44-'WLPIP 2 (HIDE)'!P19&lt;0,"-",SUM(P18+'Cost of Production'!$C$44-'WLPIP 2 (HIDE)'!P19)))</f>
        <v>-</v>
      </c>
      <c r="Q33" s="52" t="str">
        <f>IF(SUM(Q14*($C$5/100))=0,"",IF(Q18+'Cost of Production'!$C$44-'WLPIP 2 (HIDE)'!Q19&lt;0,"-",SUM(Q18+'Cost of Production'!$C$44-'WLPIP 2 (HIDE)'!Q19)))</f>
        <v>-</v>
      </c>
      <c r="R33" s="52" t="str">
        <f>IF(SUM(R14*($C$5/100))=0,"",IF(R18+'Cost of Production'!$C$44-'WLPIP 2 (HIDE)'!R19&lt;0,"-",SUM(R18+'Cost of Production'!$C$44-'WLPIP 2 (HIDE)'!R19)))</f>
        <v/>
      </c>
      <c r="S33" s="52" t="str">
        <f>IF(SUM(S14*($C$5/100))=0,"",IF(S18+'Cost of Production'!$C$44-'WLPIP 2 (HIDE)'!S19&lt;0,"-",SUM(S18+'Cost of Production'!$C$44-'WLPIP 2 (HIDE)'!S19)))</f>
        <v/>
      </c>
      <c r="T33" s="52" t="str">
        <f>IF(SUM(T14*($C$5/100))=0,"",IF(T18+'Cost of Production'!$C$44-'WLPIP 2 (HIDE)'!T19&lt;0,"-",SUM(T18+'Cost of Production'!$C$44-'WLPIP 2 (HIDE)'!T19)))</f>
        <v/>
      </c>
      <c r="U33" s="52" t="str">
        <f>IF(SUM(U14*($C$5/100))=0,"",IF(U18+'Cost of Production'!$C$44-'WLPIP 2 (HIDE)'!U19&lt;0,"-",SUM(U18+'Cost of Production'!$C$44-'WLPIP 2 (HIDE)'!U19)))</f>
        <v/>
      </c>
      <c r="V33" s="52" t="str">
        <f>IF(SUM(V14*($C$5/100))=0,"",IF(V18+'Cost of Production'!$C$44-'WLPIP 2 (HIDE)'!V19&lt;0,"-",SUM(V18+'Cost of Production'!$C$44-'WLPIP 2 (HIDE)'!V19)))</f>
        <v/>
      </c>
    </row>
    <row r="34" spans="1:54" x14ac:dyDescent="0.3">
      <c r="B34" s="1" t="s">
        <v>40</v>
      </c>
      <c r="C34" s="41" t="str">
        <f>IF(SUM(C14*($C$5/100))=0,"",IF(C18+'Cost of Production'!$C$48-'WLPIP 2 (HIDE)'!C19&lt;0,"-",SUM(C18+'Cost of Production'!$C$48-'WLPIP 2 (HIDE)'!C19)))</f>
        <v>-</v>
      </c>
      <c r="D34" s="41" t="str">
        <f>IF(SUM(D14*($C$5/100))=0,"",IF(D18+'Cost of Production'!$C$48-'WLPIP 2 (HIDE)'!D19&lt;0,"-",SUM(D18+'Cost of Production'!$C$48-'WLPIP 2 (HIDE)'!D19)))</f>
        <v>-</v>
      </c>
      <c r="E34" s="41" t="str">
        <f>IF(SUM(E14*($C$5/100))=0,"",IF(E18+'Cost of Production'!$C$48-'WLPIP 2 (HIDE)'!E19&lt;0,"-",SUM(E18+'Cost of Production'!$C$48-'WLPIP 2 (HIDE)'!E19)))</f>
        <v>-</v>
      </c>
      <c r="F34" s="41" t="str">
        <f>IF(SUM(F14*($C$5/100))=0,"",IF(F18+'Cost of Production'!$C$48-'WLPIP 2 (HIDE)'!F19&lt;0,"-",SUM(F18+'Cost of Production'!$C$48-'WLPIP 2 (HIDE)'!F19)))</f>
        <v>-</v>
      </c>
      <c r="G34" s="41" t="str">
        <f>IF(SUM(G14*($C$5/100))=0,"",IF(G18+'Cost of Production'!$C$48-'WLPIP 2 (HIDE)'!G19&lt;0,"-",SUM(G18+'Cost of Production'!$C$48-'WLPIP 2 (HIDE)'!G19)))</f>
        <v>-</v>
      </c>
      <c r="H34" s="41" t="str">
        <f>IF(SUM(H14*($C$5/100))=0,"",IF(H18+'Cost of Production'!$C$48-'WLPIP 2 (HIDE)'!H19&lt;0,"-",SUM(H18+'Cost of Production'!$C$48-'WLPIP 2 (HIDE)'!H19)))</f>
        <v>-</v>
      </c>
      <c r="I34" s="41" t="str">
        <f>IF(SUM(I14*($C$5/100))=0,"",IF(I18+'Cost of Production'!$C$48-'WLPIP 2 (HIDE)'!I19&lt;0,"-",SUM(I18+'Cost of Production'!$C$48-'WLPIP 2 (HIDE)'!I19)))</f>
        <v>-</v>
      </c>
      <c r="J34" s="41" t="str">
        <f>IF(SUM(J14*($C$5/100))=0,"",IF(J18+'Cost of Production'!$C$48-'WLPIP 2 (HIDE)'!J19&lt;0,"-",SUM(J18+'Cost of Production'!$C$48-'WLPIP 2 (HIDE)'!J19)))</f>
        <v>-</v>
      </c>
      <c r="K34" s="41" t="str">
        <f>IF(SUM(K14*($C$5/100))=0,"",IF(K18+'Cost of Production'!$C$48-'WLPIP 2 (HIDE)'!K19&lt;0,"-",SUM(K18+'Cost of Production'!$C$48-'WLPIP 2 (HIDE)'!K19)))</f>
        <v>-</v>
      </c>
      <c r="L34" s="41" t="str">
        <f>IF(SUM(L14*($C$5/100))=0,"",IF(L18+'Cost of Production'!$C$48-'WLPIP 2 (HIDE)'!L19&lt;0,"-",SUM(L18+'Cost of Production'!$C$48-'WLPIP 2 (HIDE)'!L19)))</f>
        <v>-</v>
      </c>
      <c r="M34" s="41" t="str">
        <f>IF(SUM(M14*($C$5/100))=0,"",IF(M18+'Cost of Production'!$C$48-'WLPIP 2 (HIDE)'!M19&lt;0,"-",SUM(M18+'Cost of Production'!$C$48-'WLPIP 2 (HIDE)'!M19)))</f>
        <v>-</v>
      </c>
      <c r="N34" s="41" t="str">
        <f>IF(SUM(N14*($C$5/100))=0,"",IF(N18+'Cost of Production'!$C$48-'WLPIP 2 (HIDE)'!N19&lt;0,"-",SUM(N18+'Cost of Production'!$C$48-'WLPIP 2 (HIDE)'!N19)))</f>
        <v>-</v>
      </c>
      <c r="O34" s="41" t="str">
        <f>IF(SUM(O14*($C$5/100))=0,"",IF(O18+'Cost of Production'!$C$48-'WLPIP 2 (HIDE)'!O19&lt;0,"-",SUM(O18+'Cost of Production'!$C$48-'WLPIP 2 (HIDE)'!O19)))</f>
        <v>-</v>
      </c>
      <c r="P34" s="41" t="str">
        <f>IF(SUM(P14*($C$5/100))=0,"",IF(P18+'Cost of Production'!$C$48-'WLPIP 2 (HIDE)'!P19&lt;0,"-",SUM(P18+'Cost of Production'!$C$48-'WLPIP 2 (HIDE)'!P19)))</f>
        <v>-</v>
      </c>
      <c r="Q34" s="41" t="str">
        <f>IF(SUM(Q14*($C$5/100))=0,"",IF(Q18+'Cost of Production'!$C$48-'WLPIP 2 (HIDE)'!Q19&lt;0,"-",SUM(Q18+'Cost of Production'!$C$48-'WLPIP 2 (HIDE)'!Q19)))</f>
        <v>-</v>
      </c>
      <c r="R34" s="41" t="str">
        <f>IF(SUM(R14*($C$5/100))=0,"",IF(R18+'Cost of Production'!$C$48-'WLPIP 2 (HIDE)'!R19&lt;0,"-",SUM(R18+'Cost of Production'!$C$48-'WLPIP 2 (HIDE)'!R19)))</f>
        <v/>
      </c>
      <c r="S34" s="41" t="str">
        <f>IF(SUM(S14*($C$5/100))=0,"",IF(S18+'Cost of Production'!$C$48-'WLPIP 2 (HIDE)'!S19&lt;0,"-",SUM(S18+'Cost of Production'!$C$48-'WLPIP 2 (HIDE)'!S19)))</f>
        <v/>
      </c>
      <c r="T34" s="41" t="str">
        <f>IF(SUM(T14*($C$5/100))=0,"",IF(T18+'Cost of Production'!$C$48-'WLPIP 2 (HIDE)'!T19&lt;0,"-",SUM(T18+'Cost of Production'!$C$48-'WLPIP 2 (HIDE)'!T19)))</f>
        <v/>
      </c>
      <c r="U34" s="41" t="str">
        <f>IF(SUM(U14*($C$5/100))=0,"",IF(U18+'Cost of Production'!$C$48-'WLPIP 2 (HIDE)'!U19&lt;0,"-",SUM(U18+'Cost of Production'!$C$48-'WLPIP 2 (HIDE)'!U19)))</f>
        <v/>
      </c>
      <c r="V34" s="41" t="str">
        <f>IF(SUM(V14*($C$5/100))=0,"",IF(V18+'Cost of Production'!$C$48-'WLPIP 2 (HIDE)'!V19&lt;0,"-",SUM(V18+'Cost of Production'!$C$48-'WLPIP 2 (HIDE)'!V19)))</f>
        <v/>
      </c>
    </row>
    <row r="35" spans="1:54" ht="7.5" customHeight="1" x14ac:dyDescent="0.3">
      <c r="B35" s="1"/>
      <c r="C35" s="41"/>
      <c r="D35" s="41"/>
      <c r="E35" s="41"/>
      <c r="F35" s="41"/>
      <c r="G35" s="41"/>
      <c r="H35" s="41"/>
      <c r="I35" s="41"/>
      <c r="J35" s="41"/>
      <c r="K35" s="41"/>
      <c r="L35" s="41"/>
      <c r="M35" s="41"/>
      <c r="N35" s="41"/>
      <c r="O35" s="41"/>
      <c r="P35" s="41"/>
      <c r="Q35" s="41"/>
      <c r="R35" s="41"/>
      <c r="S35" s="41"/>
      <c r="T35" s="41"/>
      <c r="U35" s="41"/>
      <c r="V35" s="41"/>
    </row>
    <row r="36" spans="1:54" ht="18" customHeight="1" x14ac:dyDescent="0.3">
      <c r="A36" s="91" t="s">
        <v>57</v>
      </c>
      <c r="B36" s="89"/>
      <c r="C36" s="88"/>
      <c r="D36" s="88"/>
      <c r="E36" s="88"/>
      <c r="F36" s="88"/>
      <c r="G36" s="88"/>
      <c r="H36" s="88"/>
      <c r="I36" s="88"/>
      <c r="J36" s="88"/>
      <c r="K36" s="89"/>
      <c r="L36" s="89"/>
      <c r="M36" s="89"/>
      <c r="N36" s="89"/>
      <c r="O36" s="89"/>
      <c r="P36" s="89"/>
      <c r="Q36" s="89"/>
      <c r="R36" s="89"/>
      <c r="S36" s="89"/>
      <c r="T36" s="89"/>
      <c r="U36" s="89"/>
      <c r="V36" s="89"/>
      <c r="W36" s="2" t="s">
        <v>88</v>
      </c>
      <c r="Y36" s="93" t="s">
        <v>89</v>
      </c>
      <c r="Z36" s="93"/>
      <c r="AA36" s="93"/>
      <c r="AB36" s="93"/>
    </row>
    <row r="37" spans="1:54" ht="18" hidden="1" customHeight="1" x14ac:dyDescent="0.3">
      <c r="A37" s="89"/>
      <c r="B37" s="89" t="s">
        <v>50</v>
      </c>
      <c r="C37" s="92">
        <f t="shared" ref="C37:V37" si="8">IF(OR(D23="",C23=""),"",SUM(C18-D18))</f>
        <v>0</v>
      </c>
      <c r="D37" s="92">
        <f t="shared" si="8"/>
        <v>0</v>
      </c>
      <c r="E37" s="92">
        <f t="shared" si="8"/>
        <v>0</v>
      </c>
      <c r="F37" s="92">
        <f t="shared" si="8"/>
        <v>0</v>
      </c>
      <c r="G37" s="92">
        <f t="shared" si="8"/>
        <v>0</v>
      </c>
      <c r="H37" s="92">
        <f t="shared" si="8"/>
        <v>0</v>
      </c>
      <c r="I37" s="92">
        <f t="shared" si="8"/>
        <v>0</v>
      </c>
      <c r="J37" s="92">
        <f t="shared" si="8"/>
        <v>0</v>
      </c>
      <c r="K37" s="92">
        <f t="shared" si="8"/>
        <v>0</v>
      </c>
      <c r="L37" s="92">
        <f t="shared" si="8"/>
        <v>0</v>
      </c>
      <c r="M37" s="92">
        <f t="shared" si="8"/>
        <v>0</v>
      </c>
      <c r="N37" s="92">
        <f t="shared" si="8"/>
        <v>0</v>
      </c>
      <c r="O37" s="92">
        <f t="shared" si="8"/>
        <v>0</v>
      </c>
      <c r="P37" s="92">
        <f t="shared" si="8"/>
        <v>0</v>
      </c>
      <c r="Q37" s="92" t="str">
        <f t="shared" si="8"/>
        <v/>
      </c>
      <c r="R37" s="92" t="str">
        <f t="shared" si="8"/>
        <v/>
      </c>
      <c r="S37" s="92" t="str">
        <f t="shared" si="8"/>
        <v/>
      </c>
      <c r="T37" s="92" t="str">
        <f t="shared" si="8"/>
        <v/>
      </c>
      <c r="U37" s="92" t="str">
        <f t="shared" si="8"/>
        <v/>
      </c>
      <c r="V37" s="92" t="str">
        <f t="shared" si="8"/>
        <v/>
      </c>
      <c r="BB37" s="2">
        <f>SUM(BB36+1)</f>
        <v>1</v>
      </c>
    </row>
    <row r="38" spans="1:54" ht="18" hidden="1" customHeight="1" x14ac:dyDescent="0.3">
      <c r="A38" s="89"/>
      <c r="B38" s="89" t="s">
        <v>51</v>
      </c>
      <c r="C38" s="92">
        <f t="shared" ref="C38:V38" si="9">IF(OR(D23="",C23=""),"",SUM(C19-D19))</f>
        <v>-3.4272581934452404</v>
      </c>
      <c r="D38" s="92">
        <f t="shared" si="9"/>
        <v>-2.3281743608802969</v>
      </c>
      <c r="E38" s="92">
        <f t="shared" si="9"/>
        <v>-4.9977175029482481</v>
      </c>
      <c r="F38" s="92">
        <f t="shared" si="9"/>
        <v>-3.5690721649484374</v>
      </c>
      <c r="G38" s="92">
        <f t="shared" si="9"/>
        <v>-2.9102880658436447</v>
      </c>
      <c r="H38" s="92">
        <f t="shared" si="9"/>
        <v>-4.0473221759771434</v>
      </c>
      <c r="I38" s="92">
        <f t="shared" si="9"/>
        <v>-3.3250877053932868</v>
      </c>
      <c r="J38" s="92">
        <f t="shared" si="9"/>
        <v>-4.6294971747371676</v>
      </c>
      <c r="K38" s="92">
        <f t="shared" si="9"/>
        <v>-4.5384377894411614</v>
      </c>
      <c r="L38" s="92">
        <f t="shared" si="9"/>
        <v>-3.8905435591958337</v>
      </c>
      <c r="M38" s="92">
        <f t="shared" si="9"/>
        <v>-6.3053988718775429</v>
      </c>
      <c r="N38" s="92">
        <f t="shared" si="9"/>
        <v>-4.8742061850653045</v>
      </c>
      <c r="O38" s="92">
        <f t="shared" si="9"/>
        <v>-0.98713214153369222</v>
      </c>
      <c r="P38" s="92">
        <f t="shared" si="9"/>
        <v>-5.9990281695843919</v>
      </c>
      <c r="Q38" s="92" t="str">
        <f t="shared" si="9"/>
        <v/>
      </c>
      <c r="R38" s="92" t="str">
        <f t="shared" si="9"/>
        <v/>
      </c>
      <c r="S38" s="92" t="str">
        <f t="shared" si="9"/>
        <v/>
      </c>
      <c r="T38" s="92" t="str">
        <f t="shared" si="9"/>
        <v/>
      </c>
      <c r="U38" s="92" t="str">
        <f t="shared" si="9"/>
        <v/>
      </c>
      <c r="V38" s="92" t="str">
        <f t="shared" si="9"/>
        <v/>
      </c>
      <c r="BB38" s="2">
        <f>SUM(BB37+1)</f>
        <v>2</v>
      </c>
    </row>
    <row r="39" spans="1:54" x14ac:dyDescent="0.3">
      <c r="A39" s="89"/>
      <c r="B39" s="89" t="s">
        <v>54</v>
      </c>
      <c r="C39" s="87">
        <f t="shared" ref="C39:V39" si="10">IF(OR(D23="",C23=""),"",SUM((C23-D23)/(C24-D24)))</f>
        <v>0</v>
      </c>
      <c r="D39" s="87">
        <f t="shared" si="10"/>
        <v>0</v>
      </c>
      <c r="E39" s="87">
        <f t="shared" si="10"/>
        <v>0</v>
      </c>
      <c r="F39" s="87">
        <f t="shared" si="10"/>
        <v>0</v>
      </c>
      <c r="G39" s="87">
        <f t="shared" si="10"/>
        <v>0</v>
      </c>
      <c r="H39" s="87">
        <f t="shared" si="10"/>
        <v>0</v>
      </c>
      <c r="I39" s="87">
        <f t="shared" si="10"/>
        <v>0</v>
      </c>
      <c r="J39" s="87">
        <f t="shared" si="10"/>
        <v>0</v>
      </c>
      <c r="K39" s="87">
        <f t="shared" si="10"/>
        <v>0</v>
      </c>
      <c r="L39" s="87">
        <f t="shared" si="10"/>
        <v>0</v>
      </c>
      <c r="M39" s="87">
        <f t="shared" si="10"/>
        <v>0</v>
      </c>
      <c r="N39" s="87">
        <f t="shared" si="10"/>
        <v>0</v>
      </c>
      <c r="O39" s="87">
        <f t="shared" si="10"/>
        <v>0</v>
      </c>
      <c r="P39" s="87">
        <f t="shared" si="10"/>
        <v>0</v>
      </c>
      <c r="Q39" s="87" t="str">
        <f t="shared" si="10"/>
        <v/>
      </c>
      <c r="R39" s="87" t="str">
        <f t="shared" si="10"/>
        <v/>
      </c>
      <c r="S39" s="87" t="str">
        <f t="shared" si="10"/>
        <v/>
      </c>
      <c r="T39" s="87" t="str">
        <f t="shared" si="10"/>
        <v/>
      </c>
      <c r="U39" s="87" t="str">
        <f t="shared" si="10"/>
        <v/>
      </c>
      <c r="V39" s="87" t="str">
        <f t="shared" si="10"/>
        <v/>
      </c>
    </row>
    <row r="40" spans="1:54" ht="7.5" customHeight="1" x14ac:dyDescent="0.3">
      <c r="C40" s="41"/>
      <c r="D40" s="41"/>
      <c r="E40" s="41"/>
      <c r="F40" s="41"/>
      <c r="G40" s="41"/>
      <c r="H40" s="41"/>
      <c r="I40" s="41"/>
      <c r="J40" s="41"/>
      <c r="K40" s="41"/>
      <c r="L40" s="41"/>
      <c r="M40" s="41"/>
      <c r="N40" s="41"/>
      <c r="O40" s="41"/>
      <c r="P40" s="41"/>
      <c r="Q40" s="41"/>
      <c r="R40" s="41"/>
      <c r="S40" s="41"/>
      <c r="T40" s="41"/>
      <c r="U40" s="41"/>
      <c r="V40" s="41"/>
    </row>
    <row r="41" spans="1:54" x14ac:dyDescent="0.3">
      <c r="A41" s="140" t="s">
        <v>48</v>
      </c>
      <c r="B41" s="140"/>
      <c r="C41" s="140"/>
      <c r="D41" s="140"/>
      <c r="E41" s="140"/>
      <c r="F41" s="140"/>
      <c r="G41" s="140"/>
      <c r="H41" s="140"/>
      <c r="I41" s="140"/>
      <c r="J41" s="140"/>
      <c r="K41" s="140"/>
      <c r="L41" s="140"/>
      <c r="M41" s="140"/>
      <c r="N41" s="140"/>
      <c r="O41" s="140"/>
      <c r="P41" s="140"/>
      <c r="Q41" s="140"/>
      <c r="R41" s="140"/>
      <c r="S41" s="140"/>
      <c r="T41" s="140"/>
      <c r="U41" s="140"/>
      <c r="V41" s="140"/>
      <c r="W41" s="1"/>
      <c r="X41" s="1"/>
      <c r="Y41" s="1"/>
      <c r="Z41" s="1"/>
      <c r="AA41" s="1"/>
    </row>
    <row r="42" spans="1:54" ht="7.5" customHeight="1" x14ac:dyDescent="0.3">
      <c r="A42" s="45"/>
      <c r="B42" s="45"/>
      <c r="C42" s="45"/>
      <c r="D42" s="45"/>
      <c r="E42" s="45"/>
      <c r="F42" s="45"/>
      <c r="G42" s="45"/>
      <c r="H42" s="45"/>
      <c r="I42" s="45"/>
      <c r="J42" s="45"/>
      <c r="K42" s="45"/>
      <c r="L42" s="45"/>
      <c r="M42" s="45"/>
      <c r="N42" s="45"/>
      <c r="O42" s="45"/>
      <c r="P42" s="45"/>
      <c r="Q42" s="45"/>
      <c r="R42" s="45"/>
      <c r="S42" s="45"/>
      <c r="T42" s="45"/>
      <c r="U42" s="45"/>
      <c r="V42" s="45"/>
      <c r="W42" s="1"/>
      <c r="X42" s="1"/>
      <c r="Y42" s="1"/>
      <c r="Z42" s="1"/>
      <c r="AA42" s="1"/>
    </row>
    <row r="43" spans="1:54" x14ac:dyDescent="0.3">
      <c r="A43" s="12" t="str">
        <f>"Marginal Returns (based on Est. Settlement Price @ $"&amp;I5&amp;"/cwt + WLPIP Payment per head)"</f>
        <v>Marginal Returns (based on Est. Settlement Price @ $280/cwt + WLPIP Payment per head)</v>
      </c>
      <c r="B43" s="12"/>
      <c r="C43" s="6"/>
      <c r="D43" s="6"/>
      <c r="E43" s="6"/>
      <c r="F43" s="6"/>
      <c r="G43" s="6"/>
      <c r="H43" s="6"/>
      <c r="I43" s="6"/>
      <c r="J43" s="6"/>
    </row>
    <row r="44" spans="1:54" x14ac:dyDescent="0.3">
      <c r="A44" s="4"/>
      <c r="B44" s="5" t="s">
        <v>0</v>
      </c>
      <c r="C44" s="66">
        <f>IF(SUM(C14*($C$5/100))=0,"",IF(ROUND(C13-$I$5,1)&lt;1,(($I$5/100)*$C$5)-('Cost of Production'!$C$31+C18),((($I$5/100)*$C$5)+C27)-('Cost of Production'!$C$31+C18)))</f>
        <v>-68.034444444444489</v>
      </c>
      <c r="D44" s="66">
        <f>IF(SUM(D14*($C$5/100))=0,"",IF(ROUND(D13-$I$5,1)&lt;1,(($I$5/100)*$C$5)-('Cost of Production'!$C$31+D18),((($I$5/100)*$C$5)+D27)-('Cost of Production'!$C$31+D18)))</f>
        <v>-68.104388489208759</v>
      </c>
      <c r="E44" s="66">
        <f>IF(SUM(E14*($C$5/100))=0,"",IF(ROUND(E13-$I$5,1)&lt;1,(($I$5/100)*$C$5)-('Cost of Production'!$C$31+E18),((($I$5/100)*$C$5)+E27)-('Cost of Production'!$C$31+E18)))</f>
        <v>-68.377822878228926</v>
      </c>
      <c r="F44" s="66">
        <f>IF(SUM(F14*($C$5/100))=0,"",IF(ROUND(F13-$I$5,1)&lt;1,(($I$5/100)*$C$5)-('Cost of Production'!$C$31+F18),((($I$5/100)*$C$5)+F27)-('Cost of Production'!$C$31+F18)))</f>
        <v>-68.306494845361158</v>
      </c>
      <c r="G44" s="66">
        <f>IF(SUM(G14*($C$5/100))=0,"",IF(ROUND(G13-$I$5,1)&lt;1,(($I$5/100)*$C$5)-('Cost of Production'!$C$31+G18),((($I$5/100)*$C$5)+G27)-('Cost of Production'!$C$31+G18)))</f>
        <v>-68.490000000000236</v>
      </c>
      <c r="H44" s="66">
        <f>IF(SUM(H14*($C$5/100))=0,"",IF(ROUND(H13-$I$5,1)&lt;1,(($I$5/100)*$C$5)-('Cost of Production'!$C$31+H18),((($I$5/100)*$C$5)+H27)-('Cost of Production'!$C$31+H18)))</f>
        <v>-68.806049382716083</v>
      </c>
      <c r="I44" s="66">
        <f>IF(SUM(I14*($C$5/100))=0,"",IF(ROUND(I13-$I$5,1)&lt;1,(($I$5/100)*$C$5)-('Cost of Production'!$C$31+I18),((($I$5/100)*$C$5)+I27)-('Cost of Production'!$C$31+I18)))</f>
        <v>-69.020298719772654</v>
      </c>
      <c r="J44" s="66">
        <f>IF(SUM(J14*($C$5/100))=0,"",IF(ROUND(J13-$I$5,1)&lt;1,(($I$5/100)*$C$5)-('Cost of Production'!$C$31+J18),((($I$5/100)*$C$5)+J27)-('Cost of Production'!$C$31+J18)))</f>
        <v>-69.374457478006207</v>
      </c>
      <c r="K44" s="66">
        <f>IF(SUM(K14*($C$5/100))=0,"",IF(ROUND(K13-$I$5,1)&lt;1,(($I$5/100)*$C$5)-('Cost of Production'!$C$31+K18),((($I$5/100)*$C$5)+K27)-('Cost of Production'!$C$31+K18)))</f>
        <v>-69.626585365853771</v>
      </c>
      <c r="L44" s="66">
        <f>IF(SUM(L14*($C$5/100))=0,"",IF(ROUND(L13-$I$5,1)&lt;1,(($I$5/100)*$C$5)-('Cost of Production'!$C$31+L18),((($I$5/100)*$C$5)+L27)-('Cost of Production'!$C$31+L18)))</f>
        <v>-69.95075949367083</v>
      </c>
      <c r="M44" s="66">
        <f>IF(SUM(M14*($C$5/100))=0,"",IF(ROUND(M13-$I$5,1)&lt;1,(($I$5/100)*$C$5)-('Cost of Production'!$C$31+M18),((($I$5/100)*$C$5)+M27)-('Cost of Production'!$C$31+M18)))</f>
        <v>-70.403725490196393</v>
      </c>
      <c r="N44" s="66">
        <f>IF(SUM(N14*($C$5/100))=0,"",IF(ROUND(N13-$I$5,1)&lt;1,(($I$5/100)*$C$5)-('Cost of Production'!$C$31+N18),((($I$5/100)*$C$5)+N27)-('Cost of Production'!$C$31+N18)))</f>
        <v>-70.679041095890625</v>
      </c>
      <c r="O44" s="66">
        <f>IF(SUM(O14*($C$5/100))=0,"",IF(ROUND(O13-$I$5,1)&lt;1,(($I$5/100)*$C$5)-('Cost of Production'!$C$31+O18),((($I$5/100)*$C$5)+O27)-('Cost of Production'!$C$31+O18)))</f>
        <v>-71.169928952042937</v>
      </c>
      <c r="P44" s="66">
        <f>IF(SUM(P14*($C$5/100))=0,"",IF(ROUND(P13-$I$5,1)&lt;1,(($I$5/100)*$C$5)-('Cost of Production'!$C$31+P18),((($I$5/100)*$C$5)+P27)-('Cost of Production'!$C$31+P18)))</f>
        <v>-72.061223021582919</v>
      </c>
      <c r="Q44" s="66">
        <f>IF(SUM(Q14*($C$5/100))=0,"",IF(ROUND(Q13-$I$5,1)&lt;1,(($I$5/100)*$C$5)-('Cost of Production'!$C$31+Q18),((($I$5/100)*$C$5)+Q27)-('Cost of Production'!$C$31+Q18)))</f>
        <v>-72.581557223264554</v>
      </c>
      <c r="R44" s="66" t="str">
        <f>IF(SUM(R14*($C$5/100))=0,"",IF(ROUND(R13-$I$5,1)&lt;1,(($I$5/100)*$C$5)-('Cost of Production'!$C$31+R18),((($I$5/100)*$C$5)+R27)-('Cost of Production'!$C$31+R18)))</f>
        <v/>
      </c>
      <c r="S44" s="66" t="str">
        <f>IF(SUM(S14*($C$5/100))=0,"",IF(ROUND(S13-$I$5,1)&lt;1,(($I$5/100)*$C$5)-('Cost of Production'!$C$31+S18),((($I$5/100)*$C$5)+S27)-('Cost of Production'!$C$31+S18)))</f>
        <v/>
      </c>
      <c r="T44" s="66" t="str">
        <f>IF(SUM(T14*($C$5/100))=0,"",IF(ROUND(T13-$I$5,1)&lt;1,(($I$5/100)*$C$5)-('Cost of Production'!$C$31+T18),((($I$5/100)*$C$5)+T27)-('Cost of Production'!$C$31+T18)))</f>
        <v/>
      </c>
      <c r="U44" s="66" t="str">
        <f>IF(SUM(U14*($C$5/100))=0,"",IF(ROUND(U13-$I$5,1)&lt;1,(($I$5/100)*$C$5)-('Cost of Production'!$C$31+U18),((($I$5/100)*$C$5)+U27)-('Cost of Production'!$C$31+U18)))</f>
        <v/>
      </c>
      <c r="V44" s="66" t="str">
        <f>IF(SUM(V14*($C$5/100))=0,"",IF(ROUND(V13-$I$5,1)&lt;1,(($I$5/100)*$C$5)-('Cost of Production'!$C$31+V18),((($I$5/100)*$C$5)+V27)-('Cost of Production'!$C$31+V18)))</f>
        <v/>
      </c>
    </row>
    <row r="45" spans="1:54" x14ac:dyDescent="0.3">
      <c r="A45" s="4"/>
      <c r="B45" s="5" t="s">
        <v>1</v>
      </c>
      <c r="C45" s="66">
        <f>IF(SUM(C14*($C$5/100))=0,"",IF(ROUND(C13-$I$5,1)&lt;1,(($I$5/100)*$C$5)-('Cost of Production'!$C$31+'Cost of Production'!$C$46+C18),((($I$5/100)*$C$5)+C27)-('Cost of Production'!$C$31+'Cost of Production'!$C$46+C18)))</f>
        <v>-2656.6544444444444</v>
      </c>
      <c r="D45" s="66">
        <f>IF(SUM(D14*($C$5/100))=0,"",IF(ROUND(D13-$I$5,1)&lt;1,(($I$5/100)*$C$5)-('Cost of Production'!$C$31+'Cost of Production'!$C$46+D18),((($I$5/100)*$C$5)+D27)-('Cost of Production'!$C$31+'Cost of Production'!$C$46+D18)))</f>
        <v>-2656.7243884892086</v>
      </c>
      <c r="E45" s="66">
        <f>IF(SUM(E14*($C$5/100))=0,"",IF(ROUND(E13-$I$5,1)&lt;1,(($I$5/100)*$C$5)-('Cost of Production'!$C$31+'Cost of Production'!$C$46+E18),((($I$5/100)*$C$5)+E27)-('Cost of Production'!$C$31+'Cost of Production'!$C$46+E18)))</f>
        <v>-2656.9978228782288</v>
      </c>
      <c r="F45" s="66">
        <f>IF(SUM(F14*($C$5/100))=0,"",IF(ROUND(F13-$I$5,1)&lt;1,(($I$5/100)*$C$5)-('Cost of Production'!$C$31+'Cost of Production'!$C$46+F18),((($I$5/100)*$C$5)+F27)-('Cost of Production'!$C$31+'Cost of Production'!$C$46+F18)))</f>
        <v>-2656.926494845361</v>
      </c>
      <c r="G45" s="66">
        <f>IF(SUM(G14*($C$5/100))=0,"",IF(ROUND(G13-$I$5,1)&lt;1,(($I$5/100)*$C$5)-('Cost of Production'!$C$31+'Cost of Production'!$C$46+G18),((($I$5/100)*$C$5)+G27)-('Cost of Production'!$C$31+'Cost of Production'!$C$46+G18)))</f>
        <v>-2657.11</v>
      </c>
      <c r="H45" s="66">
        <f>IF(SUM(H14*($C$5/100))=0,"",IF(ROUND(H13-$I$5,1)&lt;1,(($I$5/100)*$C$5)-('Cost of Production'!$C$31+'Cost of Production'!$C$46+H18),((($I$5/100)*$C$5)+H27)-('Cost of Production'!$C$31+'Cost of Production'!$C$46+H18)))</f>
        <v>-2657.426049382716</v>
      </c>
      <c r="I45" s="66">
        <f>IF(SUM(I14*($C$5/100))=0,"",IF(ROUND(I13-$I$5,1)&lt;1,(($I$5/100)*$C$5)-('Cost of Production'!$C$31+'Cost of Production'!$C$46+I18),((($I$5/100)*$C$5)+I27)-('Cost of Production'!$C$31+'Cost of Production'!$C$46+I18)))</f>
        <v>-2657.6402987197725</v>
      </c>
      <c r="J45" s="66">
        <f>IF(SUM(J14*($C$5/100))=0,"",IF(ROUND(J13-$I$5,1)&lt;1,(($I$5/100)*$C$5)-('Cost of Production'!$C$31+'Cost of Production'!$C$46+J18),((($I$5/100)*$C$5)+J27)-('Cost of Production'!$C$31+'Cost of Production'!$C$46+J18)))</f>
        <v>-2657.9944574780061</v>
      </c>
      <c r="K45" s="66">
        <f>IF(SUM(K14*($C$5/100))=0,"",IF(ROUND(K13-$I$5,1)&lt;1,(($I$5/100)*$C$5)-('Cost of Production'!$C$31+'Cost of Production'!$C$46+K18),((($I$5/100)*$C$5)+K27)-('Cost of Production'!$C$31+'Cost of Production'!$C$46+K18)))</f>
        <v>-2658.2465853658537</v>
      </c>
      <c r="L45" s="66">
        <f>IF(SUM(L14*($C$5/100))=0,"",IF(ROUND(L13-$I$5,1)&lt;1,(($I$5/100)*$C$5)-('Cost of Production'!$C$31+'Cost of Production'!$C$46+L18),((($I$5/100)*$C$5)+L27)-('Cost of Production'!$C$31+'Cost of Production'!$C$46+L18)))</f>
        <v>-2658.5707594936707</v>
      </c>
      <c r="M45" s="66">
        <f>IF(SUM(M14*($C$5/100))=0,"",IF(ROUND(M13-$I$5,1)&lt;1,(($I$5/100)*$C$5)-('Cost of Production'!$C$31+'Cost of Production'!$C$46+M18),((($I$5/100)*$C$5)+M27)-('Cost of Production'!$C$31+'Cost of Production'!$C$46+M18)))</f>
        <v>-2659.0237254901963</v>
      </c>
      <c r="N45" s="66">
        <f>IF(SUM(N14*($C$5/100))=0,"",IF(ROUND(N13-$I$5,1)&lt;1,(($I$5/100)*$C$5)-('Cost of Production'!$C$31+'Cost of Production'!$C$46+N18),((($I$5/100)*$C$5)+N27)-('Cost of Production'!$C$31+'Cost of Production'!$C$46+N18)))</f>
        <v>-2659.2990410958905</v>
      </c>
      <c r="O45" s="66">
        <f>IF(SUM(O14*($C$5/100))=0,"",IF(ROUND(O13-$I$5,1)&lt;1,(($I$5/100)*$C$5)-('Cost of Production'!$C$31+'Cost of Production'!$C$46+O18),((($I$5/100)*$C$5)+O27)-('Cost of Production'!$C$31+'Cost of Production'!$C$46+O18)))</f>
        <v>-2659.7899289520428</v>
      </c>
      <c r="P45" s="66">
        <f>IF(SUM(P14*($C$5/100))=0,"",IF(ROUND(P13-$I$5,1)&lt;1,(($I$5/100)*$C$5)-('Cost of Production'!$C$31+'Cost of Production'!$C$46+P18),((($I$5/100)*$C$5)+P27)-('Cost of Production'!$C$31+'Cost of Production'!$C$46+P18)))</f>
        <v>-2660.6812230215828</v>
      </c>
      <c r="Q45" s="66">
        <f>IF(SUM(Q14*($C$5/100))=0,"",IF(ROUND(Q13-$I$5,1)&lt;1,(($I$5/100)*$C$5)-('Cost of Production'!$C$31+'Cost of Production'!$C$46+Q18),((($I$5/100)*$C$5)+Q27)-('Cost of Production'!$C$31+'Cost of Production'!$C$46+Q18)))</f>
        <v>-2661.2015572232644</v>
      </c>
      <c r="R45" s="66" t="str">
        <f>IF(SUM(R14*($C$5/100))=0,"",IF(ROUND(R13-$I$5,1)&lt;1,(($I$5/100)*$C$5)-('Cost of Production'!$C$31+'Cost of Production'!$C$46+R18),((($I$5/100)*$C$5)+R27)-('Cost of Production'!$C$31+'Cost of Production'!$C$46+R18)))</f>
        <v/>
      </c>
      <c r="S45" s="66" t="str">
        <f>IF(SUM(S14*($C$5/100))=0,"",IF(ROUND(S13-$I$5,1)&lt;1,(($I$5/100)*$C$5)-('Cost of Production'!$C$31+'Cost of Production'!$C$46+S18),((($I$5/100)*$C$5)+S27)-('Cost of Production'!$C$31+'Cost of Production'!$C$46+S18)))</f>
        <v/>
      </c>
      <c r="T45" s="66" t="str">
        <f>IF(SUM(T14*($C$5/100))=0,"",IF(ROUND(T13-$I$5,1)&lt;1,(($I$5/100)*$C$5)-('Cost of Production'!$C$31+'Cost of Production'!$C$46+T18),((($I$5/100)*$C$5)+T27)-('Cost of Production'!$C$31+'Cost of Production'!$C$46+T18)))</f>
        <v/>
      </c>
      <c r="U45" s="66" t="str">
        <f>IF(SUM(U14*($C$5/100))=0,"",IF(ROUND(U13-$I$5,1)&lt;1,(($I$5/100)*$C$5)-('Cost of Production'!$C$31+'Cost of Production'!$C$46+U18),((($I$5/100)*$C$5)+U27)-('Cost of Production'!$C$31+'Cost of Production'!$C$46+U18)))</f>
        <v/>
      </c>
      <c r="V45" s="66" t="str">
        <f>IF(SUM(V14*($C$5/100))=0,"",IF(ROUND(V13-$I$5,1)&lt;1,(($I$5/100)*$C$5)-('Cost of Production'!$C$31+'Cost of Production'!$C$46+V18),((($I$5/100)*$C$5)+V27)-('Cost of Production'!$C$31+'Cost of Production'!$C$46+V18)))</f>
        <v/>
      </c>
    </row>
    <row r="46" spans="1:54" x14ac:dyDescent="0.3">
      <c r="A46" s="4"/>
      <c r="B46" s="5" t="s">
        <v>2</v>
      </c>
      <c r="C46" s="66">
        <f>IF(SUM(C14*($C$5/100))=0,"",IF(ROUND(C13-$I$5,1)&lt;1,(($I$5/100)*$C$5)-('Cost of Production'!$C$44+C18),((($I$5/100)*$C$5)+C27)-('Cost of Production'!$C$44+C18)))</f>
        <v>2432.4555555555553</v>
      </c>
      <c r="D46" s="66">
        <f>IF(SUM(D14*($C$5/100))=0,"",IF(ROUND(D13-$I$5,1)&lt;1,(($I$5/100)*$C$5)-('Cost of Production'!$C$44+D18),((($I$5/100)*$C$5)+D27)-('Cost of Production'!$C$44+D18)))</f>
        <v>2432.385611510791</v>
      </c>
      <c r="E46" s="66">
        <f>IF(SUM(E14*($C$5/100))=0,"",IF(ROUND(E13-$I$5,1)&lt;1,(($I$5/100)*$C$5)-('Cost of Production'!$C$44+E18),((($I$5/100)*$C$5)+E27)-('Cost of Production'!$C$44+E18)))</f>
        <v>2432.1121771217709</v>
      </c>
      <c r="F46" s="66">
        <f>IF(SUM(F14*($C$5/100))=0,"",IF(ROUND(F13-$I$5,1)&lt;1,(($I$5/100)*$C$5)-('Cost of Production'!$C$44+F18),((($I$5/100)*$C$5)+F27)-('Cost of Production'!$C$44+F18)))</f>
        <v>2432.1835051546386</v>
      </c>
      <c r="G46" s="66">
        <f>IF(SUM(G14*($C$5/100))=0,"",IF(ROUND(G13-$I$5,1)&lt;1,(($I$5/100)*$C$5)-('Cost of Production'!$C$44+G18),((($I$5/100)*$C$5)+G27)-('Cost of Production'!$C$44+G18)))</f>
        <v>2431.9999999999995</v>
      </c>
      <c r="H46" s="66">
        <f>IF(SUM(H14*($C$5/100))=0,"",IF(ROUND(H13-$I$5,1)&lt;1,(($I$5/100)*$C$5)-('Cost of Production'!$C$44+H18),((($I$5/100)*$C$5)+H27)-('Cost of Production'!$C$44+H18)))</f>
        <v>2431.6839506172837</v>
      </c>
      <c r="I46" s="66">
        <f>IF(SUM(I14*($C$5/100))=0,"",IF(ROUND(I13-$I$5,1)&lt;1,(($I$5/100)*$C$5)-('Cost of Production'!$C$44+I18),((($I$5/100)*$C$5)+I27)-('Cost of Production'!$C$44+I18)))</f>
        <v>2431.4697012802271</v>
      </c>
      <c r="J46" s="66">
        <f>IF(SUM(J14*($C$5/100))=0,"",IF(ROUND(J13-$I$5,1)&lt;1,(($I$5/100)*$C$5)-('Cost of Production'!$C$44+J18),((($I$5/100)*$C$5)+J27)-('Cost of Production'!$C$44+J18)))</f>
        <v>2431.1155425219936</v>
      </c>
      <c r="K46" s="66">
        <f>IF(SUM(K14*($C$5/100))=0,"",IF(ROUND(K13-$I$5,1)&lt;1,(($I$5/100)*$C$5)-('Cost of Production'!$C$44+K18),((($I$5/100)*$C$5)+K27)-('Cost of Production'!$C$44+K18)))</f>
        <v>2430.863414634146</v>
      </c>
      <c r="L46" s="66">
        <f>IF(SUM(L14*($C$5/100))=0,"",IF(ROUND(L13-$I$5,1)&lt;1,(($I$5/100)*$C$5)-('Cost of Production'!$C$44+L18),((($I$5/100)*$C$5)+L27)-('Cost of Production'!$C$44+L18)))</f>
        <v>2430.539240506329</v>
      </c>
      <c r="M46" s="66">
        <f>IF(SUM(M14*($C$5/100))=0,"",IF(ROUND(M13-$I$5,1)&lt;1,(($I$5/100)*$C$5)-('Cost of Production'!$C$44+M18),((($I$5/100)*$C$5)+M27)-('Cost of Production'!$C$44+M18)))</f>
        <v>2430.0862745098034</v>
      </c>
      <c r="N46" s="66">
        <f>IF(SUM(N14*($C$5/100))=0,"",IF(ROUND(N13-$I$5,1)&lt;1,(($I$5/100)*$C$5)-('Cost of Production'!$C$44+N18),((($I$5/100)*$C$5)+N27)-('Cost of Production'!$C$44+N18)))</f>
        <v>2429.8109589041092</v>
      </c>
      <c r="O46" s="66">
        <f>IF(SUM(O14*($C$5/100))=0,"",IF(ROUND(O13-$I$5,1)&lt;1,(($I$5/100)*$C$5)-('Cost of Production'!$C$44+O18),((($I$5/100)*$C$5)+O27)-('Cost of Production'!$C$44+O18)))</f>
        <v>2429.3200710479568</v>
      </c>
      <c r="P46" s="66">
        <f>IF(SUM(P14*($C$5/100))=0,"",IF(ROUND(P13-$I$5,1)&lt;1,(($I$5/100)*$C$5)-('Cost of Production'!$C$44+P18),((($I$5/100)*$C$5)+P27)-('Cost of Production'!$C$44+P18)))</f>
        <v>2428.4287769784169</v>
      </c>
      <c r="Q46" s="66">
        <f>IF(SUM(Q14*($C$5/100))=0,"",IF(ROUND(Q13-$I$5,1)&lt;1,(($I$5/100)*$C$5)-('Cost of Production'!$C$44+Q18),((($I$5/100)*$C$5)+Q27)-('Cost of Production'!$C$44+Q18)))</f>
        <v>2427.9084427767352</v>
      </c>
      <c r="R46" s="66" t="str">
        <f>IF(SUM(R14*($C$5/100))=0,"",IF(ROUND(R13-$I$5,1)&lt;1,(($I$5/100)*$C$5)-('Cost of Production'!$C$44+R18),((($I$5/100)*$C$5)+R27)-('Cost of Production'!$C$44+R18)))</f>
        <v/>
      </c>
      <c r="S46" s="66" t="str">
        <f>IF(SUM(S14*($C$5/100))=0,"",IF(ROUND(S13-$I$5,1)&lt;1,(($I$5/100)*$C$5)-('Cost of Production'!$C$44+S18),((($I$5/100)*$C$5)+S27)-('Cost of Production'!$C$44+S18)))</f>
        <v/>
      </c>
      <c r="T46" s="66" t="str">
        <f>IF(SUM(T14*($C$5/100))=0,"",IF(ROUND(T13-$I$5,1)&lt;1,(($I$5/100)*$C$5)-('Cost of Production'!$C$44+T18),((($I$5/100)*$C$5)+T27)-('Cost of Production'!$C$44+T18)))</f>
        <v/>
      </c>
      <c r="U46" s="66" t="str">
        <f>IF(SUM(U14*($C$5/100))=0,"",IF(ROUND(U13-$I$5,1)&lt;1,(($I$5/100)*$C$5)-('Cost of Production'!$C$44+U18),((($I$5/100)*$C$5)+U27)-('Cost of Production'!$C$44+U18)))</f>
        <v/>
      </c>
      <c r="V46" s="66" t="str">
        <f>IF(SUM(V14*($C$5/100))=0,"",IF(ROUND(V13-$I$5,1)&lt;1,(($I$5/100)*$C$5)-('Cost of Production'!$C$44+V18),((($I$5/100)*$C$5)+V27)-('Cost of Production'!$C$44+V18)))</f>
        <v/>
      </c>
    </row>
    <row r="47" spans="1:54" x14ac:dyDescent="0.3">
      <c r="A47" s="4"/>
      <c r="B47" s="12" t="s">
        <v>3</v>
      </c>
      <c r="C47" s="67">
        <f>IF(SUM(C14*($C$5/100))=0,"",IF(ROUND(C13-$I$5,1)&lt;1,(($I$5/100)*$C$5)-('Cost of Production'!$C$48+C18),((($I$5/100)*$C$5)+C27)-('Cost of Production'!$C$48+C18)))</f>
        <v>2459.4555555555553</v>
      </c>
      <c r="D47" s="67">
        <f>IF(SUM(D14*($C$5/100))=0,"",IF(ROUND(D13-$I$5,1)&lt;1,(($I$5/100)*$C$5)-('Cost of Production'!$C$48+D18),((($I$5/100)*$C$5)+D27)-('Cost of Production'!$C$48+D18)))</f>
        <v>2459.385611510791</v>
      </c>
      <c r="E47" s="67">
        <f>IF(SUM(E14*($C$5/100))=0,"",IF(ROUND(E13-$I$5,1)&lt;1,(($I$5/100)*$C$5)-('Cost of Production'!$C$48+E18),((($I$5/100)*$C$5)+E27)-('Cost of Production'!$C$48+E18)))</f>
        <v>2459.1121771217709</v>
      </c>
      <c r="F47" s="67">
        <f>IF(SUM(F14*($C$5/100))=0,"",IF(ROUND(F13-$I$5,1)&lt;1,(($I$5/100)*$C$5)-('Cost of Production'!$C$48+F18),((($I$5/100)*$C$5)+F27)-('Cost of Production'!$C$48+F18)))</f>
        <v>2459.1835051546386</v>
      </c>
      <c r="G47" s="67">
        <f>IF(SUM(G14*($C$5/100))=0,"",IF(ROUND(G13-$I$5,1)&lt;1,(($I$5/100)*$C$5)-('Cost of Production'!$C$48+G18),((($I$5/100)*$C$5)+G27)-('Cost of Production'!$C$48+G18)))</f>
        <v>2458.9999999999995</v>
      </c>
      <c r="H47" s="67">
        <f>IF(SUM(H14*($C$5/100))=0,"",IF(ROUND(H13-$I$5,1)&lt;1,(($I$5/100)*$C$5)-('Cost of Production'!$C$48+H18),((($I$5/100)*$C$5)+H27)-('Cost of Production'!$C$48+H18)))</f>
        <v>2458.6839506172837</v>
      </c>
      <c r="I47" s="67">
        <f>IF(SUM(I14*($C$5/100))=0,"",IF(ROUND(I13-$I$5,1)&lt;1,(($I$5/100)*$C$5)-('Cost of Production'!$C$48+I18),((($I$5/100)*$C$5)+I27)-('Cost of Production'!$C$48+I18)))</f>
        <v>2458.4697012802271</v>
      </c>
      <c r="J47" s="67">
        <f>IF(SUM(J14*($C$5/100))=0,"",IF(ROUND(J13-$I$5,1)&lt;1,(($I$5/100)*$C$5)-('Cost of Production'!$C$48+J18),((($I$5/100)*$C$5)+J27)-('Cost of Production'!$C$48+J18)))</f>
        <v>2458.1155425219936</v>
      </c>
      <c r="K47" s="67">
        <f>IF(SUM(K14*($C$5/100))=0,"",IF(ROUND(K13-$I$5,1)&lt;1,(($I$5/100)*$C$5)-('Cost of Production'!$C$48+K18),((($I$5/100)*$C$5)+K27)-('Cost of Production'!$C$48+K18)))</f>
        <v>2457.863414634146</v>
      </c>
      <c r="L47" s="67">
        <f>IF(SUM(L14*($C$5/100))=0,"",IF(ROUND(L13-$I$5,1)&lt;1,(($I$5/100)*$C$5)-('Cost of Production'!$C$48+L18),((($I$5/100)*$C$5)+L27)-('Cost of Production'!$C$48+L18)))</f>
        <v>2457.539240506329</v>
      </c>
      <c r="M47" s="67">
        <f>IF(SUM(M14*($C$5/100))=0,"",IF(ROUND(M13-$I$5,1)&lt;1,(($I$5/100)*$C$5)-('Cost of Production'!$C$48+M18),((($I$5/100)*$C$5)+M27)-('Cost of Production'!$C$48+M18)))</f>
        <v>2457.0862745098034</v>
      </c>
      <c r="N47" s="67">
        <f>IF(SUM(N14*($C$5/100))=0,"",IF(ROUND(N13-$I$5,1)&lt;1,(($I$5/100)*$C$5)-('Cost of Production'!$C$48+N18),((($I$5/100)*$C$5)+N27)-('Cost of Production'!$C$48+N18)))</f>
        <v>2456.8109589041092</v>
      </c>
      <c r="O47" s="67">
        <f>IF(SUM(O14*($C$5/100))=0,"",IF(ROUND(O13-$I$5,1)&lt;1,(($I$5/100)*$C$5)-('Cost of Production'!$C$48+O18),((($I$5/100)*$C$5)+O27)-('Cost of Production'!$C$48+O18)))</f>
        <v>2456.3200710479568</v>
      </c>
      <c r="P47" s="67">
        <f>IF(SUM(P14*($C$5/100))=0,"",IF(ROUND(P13-$I$5,1)&lt;1,(($I$5/100)*$C$5)-('Cost of Production'!$C$48+P18),((($I$5/100)*$C$5)+P27)-('Cost of Production'!$C$48+P18)))</f>
        <v>2455.4287769784169</v>
      </c>
      <c r="Q47" s="67">
        <f>IF(SUM(Q14*($C$5/100))=0,"",IF(ROUND(Q13-$I$5,1)&lt;1,(($I$5/100)*$C$5)-('Cost of Production'!$C$48+Q18),((($I$5/100)*$C$5)+Q27)-('Cost of Production'!$C$48+Q18)))</f>
        <v>2454.9084427767352</v>
      </c>
      <c r="R47" s="67" t="str">
        <f>IF(SUM(R14*($C$5/100))=0,"",IF(ROUND(R13-$I$5,1)&lt;1,(($I$5/100)*$C$5)-('Cost of Production'!$C$48+R18),((($I$5/100)*$C$5)+R27)-('Cost of Production'!$C$48+R18)))</f>
        <v/>
      </c>
      <c r="S47" s="67" t="str">
        <f>IF(SUM(S14*($C$5/100))=0,"",IF(ROUND(S13-$I$5,1)&lt;1,(($I$5/100)*$C$5)-('Cost of Production'!$C$48+S18),((($I$5/100)*$C$5)+S27)-('Cost of Production'!$C$48+S18)))</f>
        <v/>
      </c>
      <c r="T47" s="67" t="str">
        <f>IF(SUM(T14*($C$5/100))=0,"",IF(ROUND(T13-$I$5,1)&lt;1,(($I$5/100)*$C$5)-('Cost of Production'!$C$48+T18),((($I$5/100)*$C$5)+T27)-('Cost of Production'!$C$48+T18)))</f>
        <v/>
      </c>
      <c r="U47" s="67" t="str">
        <f>IF(SUM(U14*($C$5/100))=0,"",IF(ROUND(U13-$I$5,1)&lt;1,(($I$5/100)*$C$5)-('Cost of Production'!$C$48+U18),((($I$5/100)*$C$5)+U27)-('Cost of Production'!$C$48+U18)))</f>
        <v/>
      </c>
      <c r="V47" s="67" t="str">
        <f>IF(SUM(V14*($C$5/100))=0,"",IF(ROUND(V13-$I$5,1)&lt;1,(($I$5/100)*$C$5)-('Cost of Production'!$C$48+V18),((($I$5/100)*$C$5)+V27)-('Cost of Production'!$C$48+V18)))</f>
        <v/>
      </c>
    </row>
    <row r="48" spans="1:54" ht="7.5" customHeight="1" x14ac:dyDescent="0.3">
      <c r="B48" s="8"/>
    </row>
    <row r="49" spans="1:27" x14ac:dyDescent="0.3">
      <c r="A49" s="140" t="s">
        <v>75</v>
      </c>
      <c r="B49" s="140"/>
      <c r="C49" s="140"/>
      <c r="D49" s="140"/>
      <c r="E49" s="140"/>
      <c r="F49" s="140"/>
      <c r="G49" s="140"/>
      <c r="H49" s="140"/>
      <c r="I49" s="140"/>
      <c r="J49" s="140"/>
      <c r="K49" s="140"/>
      <c r="L49" s="140"/>
      <c r="M49" s="140"/>
      <c r="N49" s="140"/>
      <c r="O49" s="140"/>
      <c r="P49" s="140"/>
      <c r="Q49" s="140"/>
      <c r="R49" s="140"/>
      <c r="S49" s="140"/>
      <c r="T49" s="140"/>
      <c r="U49" s="140"/>
      <c r="V49" s="140"/>
      <c r="W49" s="1"/>
      <c r="X49" s="1"/>
      <c r="Y49" s="1"/>
      <c r="Z49" s="1"/>
      <c r="AA49" s="1"/>
    </row>
    <row r="50" spans="1:27" ht="7.5" customHeight="1" x14ac:dyDescent="0.3">
      <c r="A50" s="45"/>
      <c r="B50" s="45"/>
      <c r="C50" s="45"/>
      <c r="D50" s="45"/>
      <c r="E50" s="45"/>
      <c r="F50" s="45"/>
      <c r="G50" s="45"/>
      <c r="H50" s="45"/>
      <c r="I50" s="45"/>
      <c r="J50" s="45"/>
      <c r="K50" s="45"/>
      <c r="L50" s="45"/>
      <c r="M50" s="45"/>
      <c r="N50" s="45"/>
      <c r="O50" s="45"/>
      <c r="P50" s="45"/>
      <c r="Q50" s="45"/>
      <c r="R50" s="45"/>
      <c r="S50" s="45"/>
      <c r="T50" s="45"/>
      <c r="U50" s="45"/>
      <c r="V50" s="45"/>
      <c r="W50" s="1"/>
      <c r="X50" s="1"/>
      <c r="Y50" s="1"/>
      <c r="Z50" s="1"/>
      <c r="AA50" s="1"/>
    </row>
    <row r="51" spans="1:27" ht="15.75" customHeight="1" x14ac:dyDescent="0.3">
      <c r="A51" s="71" t="str">
        <f>"Premium Cost ($/head) = Insured Weight (cwt) x Premium ($/cwt)   (eg. ("&amp;C5&amp;"lbs /100) x $"&amp;J14&amp;" = $"&amp;TEXT(J18,"0.00")&amp;")"</f>
        <v>Premium Cost ($/head) = Insured Weight (cwt) x Premium ($/cwt)   (eg. (873lbs /100) x $6.82 = $3.00)</v>
      </c>
      <c r="B51" s="8"/>
    </row>
    <row r="52" spans="1:27" ht="15.75" customHeight="1" x14ac:dyDescent="0.3">
      <c r="A52" s="71" t="str">
        <f>"Insured Value ($/head) = Insured Index ($/cwt) x Insured Weight (cwt)   (eg. $"&amp;J13&amp;" x ("&amp;C5&amp;"lbs/100) = $"&amp;J19&amp;")"</f>
        <v>Insured Value ($/head) = Insured Index ($/cwt) x Insured Weight (cwt)   (eg. $318 x (873lbs/100) = $139.882697947214)</v>
      </c>
      <c r="B52" s="8"/>
    </row>
    <row r="53" spans="1:27" ht="15.75" customHeight="1" x14ac:dyDescent="0.3">
      <c r="A53" s="71" t="str">
        <f>"Premium Cost (% of Insured Value) = Premium Cost ($/head) / Insured Value ($/head)   (eg. $"&amp;TEXT(J18,"0.00")&amp;" / $"&amp;J19&amp;" = "&amp;ROUND(J21*100,2)&amp;"%)"</f>
        <v>Premium Cost (% of Insured Value) = Premium Cost ($/head) / Insured Value ($/head)   (eg. $3.00 / $139.882697947214 = 2.14%)</v>
      </c>
      <c r="B53" s="8"/>
    </row>
    <row r="54" spans="1:27" ht="15.75" customHeight="1" x14ac:dyDescent="0.3">
      <c r="A54" s="71" t="str">
        <f>"WLPIP Payment ($/head) = (Insured Index ($/cwt) - Estimated Settlement Price ($/cwt))) x (Insured  Weight (lbs)/100)     (eg. ($"&amp;J13&amp;" - $"&amp;$I$5&amp;") x ("&amp;$C$5&amp;" lbs/100) = $"&amp;J27&amp;")"</f>
        <v>WLPIP Payment ($/head) = (Insured Index ($/cwt) - Estimated Settlement Price ($/cwt))) x (Insured  Weight (lbs)/100)     (eg. ($318 - $280) x (873 lbs/100) = $16.7155425219941)</v>
      </c>
      <c r="B54" s="8"/>
    </row>
    <row r="55" spans="1:27" ht="15.75" customHeight="1" x14ac:dyDescent="0.3">
      <c r="A55" s="71" t="str">
        <f>"Cost Not Covered by WLPIP Insured Value ($/head) =  Cost of Production ($/head) + WLPIP Premium ($/head) - WLPIP Insured Value ($/head)   (eg. $"&amp;ROUND('Cost of Production'!$C$48,0)&amp;" + $"&amp;TEXT(J18,"0.00")&amp;" - $"&amp;J19&amp;" = $"&amp;ROUND(IF(J18+'Cost of Production'!$C$48-'WLPIP 2 (HIDE)'!J19&lt;0,0,SUM(J18+'Cost of Production'!$C$48-'WLPIP 2 (HIDE)'!J19)),2)&amp;")"</f>
        <v>Cost Not Covered by WLPIP Insured Value ($/head) =  Cost of Production ($/head) + WLPIP Premium ($/head) - WLPIP Insured Value ($/head)   (eg. $0 + $3.00 - $139.882697947214 = $0)</v>
      </c>
      <c r="B55" s="8"/>
    </row>
    <row r="56" spans="1:27" ht="15.75" customHeight="1" x14ac:dyDescent="0.3">
      <c r="A56" s="94" t="str">
        <f>"Incremental Coverage Cost (per $1 of Inc. Coverage) = (Premium Cost  - Premium Cost (lower level) / (Insured Value - Insured Value (lower level))   (eg. ($"&amp;TEXT(J18,"0.00")&amp;" - $"&amp;TEXT(K18,"0.00")&amp;") / ($"&amp;J19&amp;" - $"&amp;K19&amp;") = $"&amp;J39&amp;")"</f>
        <v>Incremental Coverage Cost (per $1 of Inc. Coverage) = (Premium Cost  - Premium Cost (lower level) / (Insured Value - Insured Value (lower level))   (eg. ($3.00 - $3.00) / ($139.882697947214 - $144.512195121951) = $0)</v>
      </c>
      <c r="B56" s="95"/>
      <c r="C56" s="89"/>
      <c r="D56" s="89"/>
      <c r="E56" s="89"/>
      <c r="F56" s="89"/>
      <c r="G56" s="89"/>
      <c r="H56" s="89"/>
      <c r="I56" s="89"/>
      <c r="J56" s="89"/>
      <c r="K56" s="89"/>
      <c r="L56" s="89"/>
      <c r="M56" s="89"/>
      <c r="N56" s="89"/>
      <c r="O56" s="89"/>
      <c r="P56" s="89"/>
      <c r="Q56" s="89"/>
      <c r="R56" s="89"/>
      <c r="S56" s="89"/>
      <c r="T56" s="89"/>
      <c r="U56" s="89"/>
      <c r="V56" s="89"/>
    </row>
    <row r="57" spans="1:27" ht="15.75" customHeight="1" x14ac:dyDescent="0.3">
      <c r="A57" s="71" t="str">
        <f>"Marginal Return ($/head) = ((Est. Settlement Price ($/cwt) x (Insured Weight (lbs) / 100)) + WLPIP Payment ($/head) - (Costs ($/head) + WLPIP Premium($/head)))   (eg. (($"&amp;$I$5&amp;" x ("&amp;$C$5&amp;" lbs/100)) + $"&amp;ROUND(J27,0)&amp;" - ($"&amp;ROUND('Cost of Production'!$C$48,0)&amp;" + $"&amp;TEXT(J18,"0.00")&amp;") = $"&amp;TEXT(J47,"0.00")&amp;")"</f>
        <v>Marginal Return ($/head) = ((Est. Settlement Price ($/cwt) x (Insured Weight (lbs) / 100)) + WLPIP Payment ($/head) - (Costs ($/head) + WLPIP Premium($/head)))   (eg. (($280 x (873 lbs/100)) + $17 - ($0 + $3.00) = $2458.12)</v>
      </c>
      <c r="B57" s="8"/>
    </row>
    <row r="58" spans="1:27" ht="7.5" customHeight="1" x14ac:dyDescent="0.3">
      <c r="A58" s="68"/>
    </row>
    <row r="59" spans="1:27" s="15" customFormat="1" ht="12.75" customHeight="1" x14ac:dyDescent="0.25">
      <c r="A59" s="46" t="s">
        <v>13</v>
      </c>
      <c r="B59" s="46"/>
      <c r="C59" s="46"/>
      <c r="D59" s="46"/>
      <c r="E59" s="46"/>
      <c r="F59" s="46"/>
      <c r="G59" s="46"/>
      <c r="H59" s="46"/>
      <c r="I59" s="46"/>
      <c r="J59" s="46"/>
      <c r="K59" s="46"/>
    </row>
    <row r="60" spans="1:27" s="15" customFormat="1" ht="7.5" customHeight="1" x14ac:dyDescent="0.25">
      <c r="A60" s="54"/>
      <c r="B60" s="54"/>
      <c r="C60" s="54"/>
      <c r="D60" s="54"/>
      <c r="E60" s="54"/>
      <c r="F60" s="54"/>
      <c r="G60" s="54"/>
      <c r="H60" s="54"/>
      <c r="I60" s="54"/>
      <c r="J60" s="54"/>
      <c r="K60" s="54"/>
      <c r="L60" s="54"/>
      <c r="M60" s="54"/>
      <c r="N60" s="54"/>
      <c r="O60" s="54"/>
      <c r="P60" s="54"/>
      <c r="Q60" s="54"/>
      <c r="R60" s="54"/>
      <c r="S60" s="22"/>
      <c r="T60" s="22"/>
      <c r="U60" s="22"/>
      <c r="V60" s="22"/>
    </row>
    <row r="61" spans="1:27" s="15" customFormat="1" ht="3" hidden="1" customHeight="1" x14ac:dyDescent="0.25">
      <c r="A61" s="20"/>
      <c r="B61" s="21"/>
      <c r="C61" s="21"/>
      <c r="D61" s="21"/>
      <c r="E61" s="21"/>
      <c r="F61" s="21"/>
      <c r="G61" s="22"/>
      <c r="H61" s="22"/>
      <c r="I61" s="22"/>
      <c r="J61" s="22"/>
      <c r="K61" s="22"/>
    </row>
    <row r="62" spans="1:27" ht="18" customHeight="1" x14ac:dyDescent="0.3">
      <c r="A62" s="154" t="s">
        <v>52</v>
      </c>
      <c r="B62" s="154"/>
      <c r="C62" s="154"/>
      <c r="D62" s="154"/>
      <c r="E62" s="154"/>
      <c r="F62" s="154"/>
      <c r="G62" s="154"/>
      <c r="H62" s="154"/>
      <c r="I62" s="154"/>
      <c r="J62" s="154"/>
      <c r="K62" s="154"/>
      <c r="L62" s="154"/>
      <c r="M62" s="154"/>
      <c r="N62" s="154"/>
      <c r="O62" s="154"/>
      <c r="P62" s="154"/>
      <c r="Q62" s="154"/>
      <c r="R62" s="154"/>
    </row>
    <row r="63" spans="1:27" x14ac:dyDescent="0.3">
      <c r="A63" s="154"/>
      <c r="B63" s="154"/>
      <c r="C63" s="154"/>
      <c r="D63" s="154"/>
      <c r="E63" s="154"/>
      <c r="F63" s="154"/>
      <c r="G63" s="154"/>
      <c r="H63" s="154"/>
      <c r="I63" s="154"/>
      <c r="J63" s="154"/>
      <c r="K63" s="154"/>
      <c r="L63" s="154"/>
      <c r="M63" s="154"/>
      <c r="N63" s="154"/>
      <c r="O63" s="154"/>
      <c r="P63" s="154"/>
      <c r="Q63" s="154"/>
      <c r="R63" s="154"/>
    </row>
    <row r="64" spans="1:27" x14ac:dyDescent="0.3">
      <c r="A64" s="154"/>
      <c r="B64" s="154"/>
      <c r="C64" s="154"/>
      <c r="D64" s="154"/>
      <c r="E64" s="154"/>
      <c r="F64" s="154"/>
      <c r="G64" s="154"/>
      <c r="H64" s="154"/>
      <c r="I64" s="154"/>
      <c r="J64" s="154"/>
      <c r="K64" s="154"/>
      <c r="L64" s="154"/>
      <c r="M64" s="154"/>
      <c r="N64" s="154"/>
      <c r="O64" s="154"/>
      <c r="P64" s="154"/>
      <c r="Q64" s="154"/>
      <c r="R64" s="154"/>
    </row>
    <row r="65" spans="1:22" ht="7.5" customHeight="1" x14ac:dyDescent="0.3">
      <c r="A65" s="53"/>
      <c r="B65" s="53"/>
      <c r="C65" s="53"/>
      <c r="D65" s="53"/>
      <c r="E65" s="53"/>
      <c r="F65" s="53"/>
      <c r="G65" s="53"/>
      <c r="H65" s="53"/>
      <c r="I65" s="53"/>
      <c r="J65" s="53"/>
      <c r="K65" s="53"/>
    </row>
    <row r="66" spans="1:22" x14ac:dyDescent="0.3">
      <c r="A66" s="19" t="s">
        <v>6</v>
      </c>
      <c r="B66" s="29"/>
      <c r="C66" s="29"/>
      <c r="D66" s="26"/>
      <c r="E66" s="26"/>
      <c r="F66" s="26"/>
      <c r="G66" s="26"/>
      <c r="H66" s="27" t="s">
        <v>12</v>
      </c>
      <c r="I66" s="30"/>
      <c r="J66" s="57"/>
      <c r="K66" s="57"/>
      <c r="L66" s="30"/>
      <c r="M66" s="30"/>
      <c r="N66" s="30"/>
      <c r="O66" s="30"/>
      <c r="P66" s="30"/>
      <c r="Q66" s="30"/>
      <c r="R66" s="57"/>
      <c r="S66" s="56"/>
      <c r="T66" s="30"/>
      <c r="U66" s="30"/>
      <c r="V66" s="55" t="s">
        <v>44</v>
      </c>
    </row>
    <row r="67" spans="1:22" x14ac:dyDescent="0.3">
      <c r="A67" s="28" t="s">
        <v>7</v>
      </c>
      <c r="B67" s="25"/>
      <c r="C67" s="25"/>
      <c r="D67" s="25"/>
      <c r="E67" s="25"/>
      <c r="F67" s="25"/>
      <c r="G67" s="25"/>
      <c r="H67" s="25"/>
    </row>
    <row r="68" spans="1:22" x14ac:dyDescent="0.3">
      <c r="A68" s="155" t="s">
        <v>8</v>
      </c>
      <c r="B68" s="155"/>
      <c r="C68" s="155" t="s">
        <v>9</v>
      </c>
      <c r="D68" s="155"/>
      <c r="E68" s="155"/>
      <c r="F68" s="156"/>
      <c r="G68" s="156"/>
      <c r="I68" s="157"/>
      <c r="J68" s="157"/>
    </row>
    <row r="69" spans="1:22" s="73" customFormat="1" ht="13.8" x14ac:dyDescent="0.25">
      <c r="A69" s="72" t="s">
        <v>11</v>
      </c>
      <c r="C69" s="72" t="s">
        <v>11</v>
      </c>
      <c r="F69" s="72"/>
      <c r="I69" s="72"/>
    </row>
  </sheetData>
  <mergeCells count="11">
    <mergeCell ref="Y23:AB30"/>
    <mergeCell ref="A62:R64"/>
    <mergeCell ref="A68:B68"/>
    <mergeCell ref="C68:E68"/>
    <mergeCell ref="F68:G68"/>
    <mergeCell ref="I68:J68"/>
    <mergeCell ref="A10:V10"/>
    <mergeCell ref="C12:V12"/>
    <mergeCell ref="A16:V16"/>
    <mergeCell ref="A41:V41"/>
    <mergeCell ref="A49:V49"/>
  </mergeCells>
  <dataValidations count="2">
    <dataValidation type="list" allowBlank="1" showInputMessage="1" showErrorMessage="1" sqref="O5" xr:uid="{00000000-0002-0000-0400-000000000000}">
      <formula1>$BB$8:$CF$8</formula1>
    </dataValidation>
    <dataValidation type="list" allowBlank="1" showInputMessage="1" showErrorMessage="1" sqref="N5" xr:uid="{00000000-0002-0000-0400-000001000000}">
      <formula1>$BB$9:$BM$9</formula1>
    </dataValidation>
  </dataValidations>
  <hyperlinks>
    <hyperlink ref="A68" r:id="rId1" xr:uid="{00000000-0004-0000-0400-000000000000}"/>
    <hyperlink ref="C68" r:id="rId2" xr:uid="{00000000-0004-0000-0400-000001000000}"/>
  </hyperlinks>
  <printOptions horizontalCentered="1"/>
  <pageMargins left="0.35433070866141736" right="0.35433070866141736" top="0.39370078740157483" bottom="0.39370078740157483" header="0.51181102362204722" footer="0.51181102362204722"/>
  <pageSetup paperSize="5" scale="55" firstPageNumber="3" pageOrder="overThenDown" orientation="landscape" useFirstPageNumber="1" r:id="rId3"/>
  <headerFooter scaleWithDoc="0" alignWithMargins="0">
    <oddFooter>&amp;R&amp;9Manitoba Agriculture, Farm Management</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4817CFE-E521-4AFA-B58B-DB4A973A17DF}"/>
</file>

<file path=customXml/itemProps2.xml><?xml version="1.0" encoding="utf-8"?>
<ds:datastoreItem xmlns:ds="http://schemas.openxmlformats.org/officeDocument/2006/customXml" ds:itemID="{2C74406D-C4EA-4419-8D13-0E6C8393F311}">
  <ds:schemaRefs>
    <ds:schemaRef ds:uri="http://schemas.microsoft.com/sharepoint/v3/contenttype/forms"/>
  </ds:schemaRefs>
</ds:datastoreItem>
</file>

<file path=customXml/itemProps3.xml><?xml version="1.0" encoding="utf-8"?>
<ds:datastoreItem xmlns:ds="http://schemas.openxmlformats.org/officeDocument/2006/customXml" ds:itemID="{4A23F255-6605-4524-9172-B1FE47F91ECD}">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 LPI Calculator</vt:lpstr>
      <vt:lpstr>User Guide</vt:lpstr>
      <vt:lpstr>Cost of Production</vt:lpstr>
      <vt:lpstr>Graph Data (HIDE)</vt:lpstr>
      <vt:lpstr>WLPIP 2 (HIDE)</vt:lpstr>
      <vt:lpstr>' LPI Calculator'!Print_Area</vt:lpstr>
      <vt:lpstr>'User Guide'!Print_Area</vt:lpstr>
      <vt:lpstr>'WLPIP 2 (HIDE)'!Print_Area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LPI Feeders Decision Calculator</dc:title>
  <dc:creator>Roy Arnott</dc:creator>
  <cp:lastModifiedBy>Berthelette, Crystal</cp:lastModifiedBy>
  <cp:lastPrinted>2022-09-20T21:14:59Z</cp:lastPrinted>
  <dcterms:created xsi:type="dcterms:W3CDTF">2014-09-15T13:56:31Z</dcterms:created>
  <dcterms:modified xsi:type="dcterms:W3CDTF">2024-10-01T17:13:52Z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